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ristina Romero\Downloads\"/>
    </mc:Choice>
  </mc:AlternateContent>
  <bookViews>
    <workbookView xWindow="0" yWindow="0" windowWidth="11670" windowHeight="4455" xr2:uid="{00000000-000D-0000-FFFF-FFFF00000000}"/>
  </bookViews>
  <sheets>
    <sheet name="FS - 1 Drop Down" sheetId="8" r:id="rId1"/>
    <sheet name="Financial Summary - 2 Mo &amp; YTD" sheetId="9" r:id="rId2"/>
    <sheet name="Financial Summary - 3 Var &amp; Oth" sheetId="10" r:id="rId3"/>
    <sheet name="Financial Summary - 4 Graph" sheetId="11" r:id="rId4"/>
    <sheet name="Financial Summary - Final" sheetId="6" r:id="rId5"/>
    <sheet name="Productivity" sheetId="4" r:id="rId6"/>
    <sheet name="M2M P&amp;L" sheetId="2" r:id="rId7"/>
    <sheet name="M2M Balance Sheet" sheetId="1" r:id="rId8"/>
    <sheet name="AR" sheetId="5" r:id="rId9"/>
    <sheet name="Key" sheetId="7" r:id="rId10"/>
  </sheets>
  <definedNames>
    <definedName name="_xlnm.Print_Area" localSheetId="1">'Financial Summary - 2 Mo &amp; YTD'!$B$1:$K$49</definedName>
    <definedName name="_xlnm.Print_Area" localSheetId="2">'Financial Summary - 3 Var &amp; Oth'!$B$1:$K$49</definedName>
    <definedName name="_xlnm.Print_Area" localSheetId="3">'Financial Summary - 4 Graph'!$B$1:$K$49</definedName>
    <definedName name="_xlnm.Print_Area" localSheetId="4">'Financial Summary - Final'!$B$1:$K$49</definedName>
    <definedName name="_xlnm.Print_Area" localSheetId="0">'FS - 1 Drop Down'!$B$1:$K$49</definedName>
    <definedName name="_xlnm.Print_Titles" localSheetId="7">'M2M Balance Sheet'!$7:$7</definedName>
    <definedName name="_xlnm.Print_Titles" localSheetId="6">'M2M P&amp;L'!$8:$8</definedName>
  </definedNames>
  <calcPr calcId="171027"/>
</workbook>
</file>

<file path=xl/calcChain.xml><?xml version="1.0" encoding="utf-8"?>
<calcChain xmlns="http://schemas.openxmlformats.org/spreadsheetml/2006/main">
  <c r="D6" i="11" l="1"/>
  <c r="B2" i="9"/>
  <c r="B1" i="4" l="1"/>
  <c r="C1" i="4"/>
  <c r="D1" i="4"/>
  <c r="E1" i="4"/>
  <c r="F1" i="4"/>
  <c r="G1" i="4"/>
  <c r="H1" i="4"/>
  <c r="I1" i="4"/>
  <c r="J1" i="4"/>
  <c r="K1" i="4"/>
  <c r="L1" i="4"/>
  <c r="M1" i="4"/>
  <c r="N1" i="4"/>
  <c r="O1" i="4"/>
  <c r="N6" i="2"/>
  <c r="O6" i="2"/>
  <c r="P6" i="2"/>
  <c r="Q6" i="2"/>
  <c r="R6" i="2"/>
  <c r="S6" i="2"/>
  <c r="T6" i="2"/>
  <c r="U6" i="2"/>
  <c r="B6" i="2"/>
  <c r="C6" i="2"/>
  <c r="D6" i="2"/>
  <c r="E6" i="2"/>
  <c r="F6" i="2"/>
  <c r="G6" i="2"/>
  <c r="H6" i="2"/>
  <c r="I6" i="2"/>
  <c r="J6" i="2"/>
  <c r="K6" i="2"/>
  <c r="L6" i="2"/>
  <c r="D4" i="8"/>
  <c r="E4" i="8" s="1"/>
  <c r="W9" i="5"/>
  <c r="W14" i="5"/>
  <c r="X14" i="5"/>
  <c r="Y14" i="5"/>
  <c r="D32" i="6" l="1"/>
  <c r="Z7" i="5" l="1"/>
  <c r="Z9" i="5" s="1"/>
  <c r="Z5" i="5"/>
  <c r="E32" i="11"/>
  <c r="D32" i="11"/>
  <c r="E31" i="11"/>
  <c r="D31" i="11"/>
  <c r="E30" i="11"/>
  <c r="D30" i="11"/>
  <c r="E11" i="11"/>
  <c r="D11" i="11"/>
  <c r="E10" i="11"/>
  <c r="D10" i="11"/>
  <c r="E9" i="11"/>
  <c r="D9" i="11"/>
  <c r="E6" i="11"/>
  <c r="B2" i="11"/>
  <c r="D4" i="11" s="1"/>
  <c r="E4" i="11" s="1"/>
  <c r="E32" i="10"/>
  <c r="D32" i="10"/>
  <c r="E31" i="10"/>
  <c r="D31" i="10"/>
  <c r="E30" i="10"/>
  <c r="D30" i="10"/>
  <c r="E11" i="10"/>
  <c r="D11" i="10"/>
  <c r="E10" i="10"/>
  <c r="D10" i="10"/>
  <c r="E9" i="10"/>
  <c r="D9" i="10"/>
  <c r="E6" i="10"/>
  <c r="D6" i="10"/>
  <c r="B2" i="10"/>
  <c r="D4" i="10" s="1"/>
  <c r="E4" i="10" s="1"/>
  <c r="D4" i="9"/>
  <c r="E4" i="9" s="1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B13" i="2"/>
  <c r="E10" i="6"/>
  <c r="E6" i="6"/>
  <c r="F9" i="11" l="1"/>
  <c r="G9" i="11" s="1"/>
  <c r="E13" i="11"/>
  <c r="E14" i="11" s="1"/>
  <c r="F11" i="11"/>
  <c r="G11" i="11" s="1"/>
  <c r="F6" i="11"/>
  <c r="G6" i="11" s="1"/>
  <c r="F31" i="11"/>
  <c r="G31" i="11" s="1"/>
  <c r="F30" i="11"/>
  <c r="G30" i="11" s="1"/>
  <c r="F32" i="11"/>
  <c r="G32" i="11" s="1"/>
  <c r="D13" i="11"/>
  <c r="D15" i="11"/>
  <c r="E15" i="11"/>
  <c r="D12" i="11"/>
  <c r="F10" i="11"/>
  <c r="G10" i="11" s="1"/>
  <c r="E12" i="11"/>
  <c r="E13" i="10"/>
  <c r="D13" i="10"/>
  <c r="E30" i="6"/>
  <c r="D30" i="6"/>
  <c r="D31" i="6"/>
  <c r="E31" i="6"/>
  <c r="F13" i="11" l="1"/>
  <c r="G13" i="11" s="1"/>
  <c r="D14" i="11"/>
  <c r="F14" i="11" s="1"/>
  <c r="F12" i="11"/>
  <c r="G12" i="11" s="1"/>
  <c r="F15" i="11"/>
  <c r="G15" i="11" s="1"/>
  <c r="F30" i="6"/>
  <c r="G30" i="6" s="1"/>
  <c r="P5" i="1" l="1"/>
  <c r="Q5" i="1"/>
  <c r="R5" i="1"/>
  <c r="S5" i="1"/>
  <c r="T5" i="1"/>
  <c r="U5" i="1"/>
  <c r="V5" i="1"/>
  <c r="W5" i="1"/>
  <c r="X5" i="1"/>
  <c r="Y5" i="1"/>
  <c r="O5" i="1"/>
  <c r="N5" i="1"/>
  <c r="D5" i="1"/>
  <c r="E5" i="1"/>
  <c r="F5" i="1"/>
  <c r="G5" i="1"/>
  <c r="H5" i="1"/>
  <c r="I5" i="1"/>
  <c r="J5" i="1"/>
  <c r="K5" i="1"/>
  <c r="L5" i="1"/>
  <c r="M5" i="1"/>
  <c r="C5" i="1"/>
  <c r="B5" i="1"/>
  <c r="M6" i="2"/>
  <c r="I11" i="6" s="1"/>
  <c r="V6" i="2"/>
  <c r="W6" i="2"/>
  <c r="X6" i="2"/>
  <c r="Y6" i="2"/>
  <c r="P1" i="4"/>
  <c r="Q1" i="4"/>
  <c r="R1" i="4"/>
  <c r="S1" i="4"/>
  <c r="T1" i="4"/>
  <c r="U1" i="4"/>
  <c r="V1" i="4"/>
  <c r="W1" i="4"/>
  <c r="X1" i="4"/>
  <c r="Y1" i="4"/>
  <c r="I10" i="11" l="1"/>
  <c r="I6" i="11"/>
  <c r="I10" i="10"/>
  <c r="I6" i="10"/>
  <c r="H10" i="11"/>
  <c r="H10" i="10"/>
  <c r="H6" i="11"/>
  <c r="H6" i="10"/>
  <c r="I11" i="10"/>
  <c r="I9" i="10"/>
  <c r="I9" i="11"/>
  <c r="I11" i="11"/>
  <c r="H9" i="10"/>
  <c r="H11" i="10"/>
  <c r="H9" i="11"/>
  <c r="H11" i="11"/>
  <c r="D10" i="6"/>
  <c r="H10" i="6"/>
  <c r="I10" i="6"/>
  <c r="I9" i="6"/>
  <c r="I6" i="6"/>
  <c r="H11" i="6"/>
  <c r="H6" i="6"/>
  <c r="D36" i="6" s="1"/>
  <c r="H9" i="6"/>
  <c r="D6" i="6"/>
  <c r="E32" i="6"/>
  <c r="B67" i="2"/>
  <c r="E9" i="6"/>
  <c r="D9" i="6"/>
  <c r="E11" i="6"/>
  <c r="E15" i="6" s="1"/>
  <c r="D11" i="6"/>
  <c r="B2" i="6"/>
  <c r="D4" i="6" s="1"/>
  <c r="E4" i="6" s="1"/>
  <c r="J11" i="11" l="1"/>
  <c r="K11" i="11" s="1"/>
  <c r="I12" i="11"/>
  <c r="D36" i="11"/>
  <c r="J6" i="11"/>
  <c r="K6" i="11" s="1"/>
  <c r="I13" i="10"/>
  <c r="H13" i="10"/>
  <c r="H12" i="11"/>
  <c r="J9" i="11"/>
  <c r="K9" i="11" s="1"/>
  <c r="H13" i="11"/>
  <c r="H15" i="11"/>
  <c r="J10" i="11"/>
  <c r="K10" i="11" s="1"/>
  <c r="I13" i="11"/>
  <c r="I15" i="11"/>
  <c r="I15" i="6"/>
  <c r="H15" i="6"/>
  <c r="D15" i="6"/>
  <c r="I12" i="6"/>
  <c r="H12" i="6"/>
  <c r="E12" i="6"/>
  <c r="D12" i="6"/>
  <c r="I13" i="6"/>
  <c r="I14" i="6" s="1"/>
  <c r="J10" i="6"/>
  <c r="K10" i="6" s="1"/>
  <c r="J6" i="6"/>
  <c r="K6" i="6" s="1"/>
  <c r="J11" i="6"/>
  <c r="K11" i="6" s="1"/>
  <c r="J9" i="6"/>
  <c r="K9" i="6" s="1"/>
  <c r="H13" i="6"/>
  <c r="F32" i="6"/>
  <c r="G32" i="6" s="1"/>
  <c r="F6" i="6"/>
  <c r="G6" i="6" s="1"/>
  <c r="F31" i="6"/>
  <c r="G31" i="6" s="1"/>
  <c r="F11" i="6"/>
  <c r="G11" i="6" s="1"/>
  <c r="F9" i="6"/>
  <c r="G9" i="6" s="1"/>
  <c r="Z21" i="5"/>
  <c r="Z20" i="5"/>
  <c r="Z19" i="5"/>
  <c r="Z18" i="5"/>
  <c r="Z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Y9" i="5"/>
  <c r="X9" i="5"/>
  <c r="E23" i="5" l="1"/>
  <c r="E25" i="5"/>
  <c r="E26" i="5"/>
  <c r="E24" i="5"/>
  <c r="E27" i="5"/>
  <c r="B24" i="5"/>
  <c r="B23" i="5"/>
  <c r="B25" i="5"/>
  <c r="B27" i="5"/>
  <c r="B26" i="5"/>
  <c r="F24" i="5"/>
  <c r="F25" i="5"/>
  <c r="F27" i="5"/>
  <c r="F23" i="5"/>
  <c r="F26" i="5"/>
  <c r="J12" i="11"/>
  <c r="K12" i="11" s="1"/>
  <c r="C23" i="5"/>
  <c r="C24" i="5"/>
  <c r="C25" i="5"/>
  <c r="C26" i="5"/>
  <c r="C27" i="5"/>
  <c r="D23" i="5"/>
  <c r="D24" i="5"/>
  <c r="D25" i="5"/>
  <c r="D26" i="5"/>
  <c r="D27" i="5"/>
  <c r="J15" i="11"/>
  <c r="K15" i="11" s="1"/>
  <c r="D39" i="11"/>
  <c r="H14" i="11"/>
  <c r="J13" i="11"/>
  <c r="K13" i="11" s="1"/>
  <c r="I14" i="11"/>
  <c r="D39" i="6"/>
  <c r="H14" i="6"/>
  <c r="J14" i="6" s="1"/>
  <c r="J12" i="6"/>
  <c r="K12" i="6" s="1"/>
  <c r="F12" i="6"/>
  <c r="G12" i="6" s="1"/>
  <c r="J13" i="6"/>
  <c r="K13" i="6" s="1"/>
  <c r="J15" i="6"/>
  <c r="K15" i="6" s="1"/>
  <c r="M148" i="2"/>
  <c r="L148" i="2"/>
  <c r="K148" i="2"/>
  <c r="J148" i="2"/>
  <c r="I148" i="2"/>
  <c r="H148" i="2"/>
  <c r="G148" i="2"/>
  <c r="F148" i="2"/>
  <c r="E148" i="2"/>
  <c r="D148" i="2"/>
  <c r="C148" i="2"/>
  <c r="B148" i="2"/>
  <c r="M137" i="2"/>
  <c r="L137" i="2"/>
  <c r="K137" i="2"/>
  <c r="J137" i="2"/>
  <c r="I137" i="2"/>
  <c r="H137" i="2"/>
  <c r="G137" i="2"/>
  <c r="F137" i="2"/>
  <c r="E137" i="2"/>
  <c r="D137" i="2"/>
  <c r="C137" i="2"/>
  <c r="B137" i="2"/>
  <c r="M112" i="2"/>
  <c r="L112" i="2"/>
  <c r="K112" i="2"/>
  <c r="J112" i="2"/>
  <c r="I112" i="2"/>
  <c r="H112" i="2"/>
  <c r="G112" i="2"/>
  <c r="F112" i="2"/>
  <c r="E112" i="2"/>
  <c r="D112" i="2"/>
  <c r="C112" i="2"/>
  <c r="B112" i="2"/>
  <c r="M95" i="2"/>
  <c r="L95" i="2"/>
  <c r="K95" i="2"/>
  <c r="J95" i="2"/>
  <c r="I95" i="2"/>
  <c r="H95" i="2"/>
  <c r="G95" i="2"/>
  <c r="F95" i="2"/>
  <c r="E95" i="2"/>
  <c r="D95" i="2"/>
  <c r="C95" i="2"/>
  <c r="B95" i="2"/>
  <c r="M67" i="2"/>
  <c r="L67" i="2"/>
  <c r="K67" i="2"/>
  <c r="J67" i="2"/>
  <c r="I67" i="2"/>
  <c r="H67" i="2"/>
  <c r="G67" i="2"/>
  <c r="F67" i="2"/>
  <c r="E67" i="2"/>
  <c r="D67" i="2"/>
  <c r="C67" i="2"/>
  <c r="M42" i="2"/>
  <c r="L42" i="2"/>
  <c r="K42" i="2"/>
  <c r="J42" i="2"/>
  <c r="I42" i="2"/>
  <c r="H42" i="2"/>
  <c r="G42" i="2"/>
  <c r="F42" i="2"/>
  <c r="E42" i="2"/>
  <c r="D42" i="2"/>
  <c r="C42" i="2"/>
  <c r="B42" i="2"/>
  <c r="M15" i="2"/>
  <c r="L15" i="2"/>
  <c r="K15" i="2"/>
  <c r="J15" i="2"/>
  <c r="I15" i="2"/>
  <c r="H15" i="2"/>
  <c r="G15" i="2"/>
  <c r="F15" i="2"/>
  <c r="E15" i="2"/>
  <c r="D15" i="2"/>
  <c r="C15" i="2"/>
  <c r="B15" i="2"/>
  <c r="V148" i="2"/>
  <c r="U148" i="2"/>
  <c r="T148" i="2"/>
  <c r="S148" i="2"/>
  <c r="R148" i="2"/>
  <c r="Q148" i="2"/>
  <c r="P148" i="2"/>
  <c r="O148" i="2"/>
  <c r="N148" i="2"/>
  <c r="V137" i="2"/>
  <c r="U137" i="2"/>
  <c r="T137" i="2"/>
  <c r="S137" i="2"/>
  <c r="R137" i="2"/>
  <c r="Q137" i="2"/>
  <c r="P137" i="2"/>
  <c r="O137" i="2"/>
  <c r="N137" i="2"/>
  <c r="V112" i="2"/>
  <c r="U112" i="2"/>
  <c r="T112" i="2"/>
  <c r="S112" i="2"/>
  <c r="R112" i="2"/>
  <c r="Q112" i="2"/>
  <c r="P112" i="2"/>
  <c r="O112" i="2"/>
  <c r="N112" i="2"/>
  <c r="V95" i="2"/>
  <c r="U95" i="2"/>
  <c r="T95" i="2"/>
  <c r="S95" i="2"/>
  <c r="R95" i="2"/>
  <c r="Q95" i="2"/>
  <c r="P95" i="2"/>
  <c r="O95" i="2"/>
  <c r="N95" i="2"/>
  <c r="V67" i="2"/>
  <c r="U67" i="2"/>
  <c r="T67" i="2"/>
  <c r="S67" i="2"/>
  <c r="R67" i="2"/>
  <c r="Q67" i="2"/>
  <c r="P67" i="2"/>
  <c r="O67" i="2"/>
  <c r="N67" i="2"/>
  <c r="V42" i="2"/>
  <c r="U42" i="2"/>
  <c r="T42" i="2"/>
  <c r="S42" i="2"/>
  <c r="R42" i="2"/>
  <c r="Q42" i="2"/>
  <c r="P42" i="2"/>
  <c r="O42" i="2"/>
  <c r="N42" i="2"/>
  <c r="V15" i="2"/>
  <c r="U15" i="2"/>
  <c r="T15" i="2"/>
  <c r="S15" i="2"/>
  <c r="R15" i="2"/>
  <c r="Q15" i="2"/>
  <c r="P15" i="2"/>
  <c r="O15" i="2"/>
  <c r="N15" i="2"/>
  <c r="H21" i="6" l="1"/>
  <c r="H21" i="11"/>
  <c r="H21" i="10"/>
  <c r="D21" i="6"/>
  <c r="D21" i="11"/>
  <c r="D21" i="10"/>
  <c r="H18" i="11"/>
  <c r="H18" i="10"/>
  <c r="D18" i="11"/>
  <c r="D18" i="10"/>
  <c r="H22" i="11"/>
  <c r="H22" i="10"/>
  <c r="H22" i="6"/>
  <c r="D22" i="6"/>
  <c r="D22" i="11"/>
  <c r="D22" i="10"/>
  <c r="B28" i="5"/>
  <c r="H19" i="10"/>
  <c r="H19" i="11"/>
  <c r="D19" i="6"/>
  <c r="D19" i="10"/>
  <c r="D19" i="11"/>
  <c r="E19" i="6"/>
  <c r="E19" i="11"/>
  <c r="E19" i="10"/>
  <c r="I20" i="10"/>
  <c r="I20" i="11"/>
  <c r="I20" i="6"/>
  <c r="E20" i="6"/>
  <c r="E20" i="11"/>
  <c r="E20" i="10"/>
  <c r="I21" i="11"/>
  <c r="I21" i="10"/>
  <c r="I21" i="6"/>
  <c r="E21" i="6"/>
  <c r="E21" i="11"/>
  <c r="E21" i="10"/>
  <c r="I22" i="11"/>
  <c r="I22" i="10"/>
  <c r="I22" i="6"/>
  <c r="E22" i="6"/>
  <c r="E22" i="11"/>
  <c r="E22" i="10"/>
  <c r="D28" i="5"/>
  <c r="F28" i="5"/>
  <c r="P140" i="2"/>
  <c r="H20" i="6"/>
  <c r="H20" i="11"/>
  <c r="J20" i="11" s="1"/>
  <c r="K20" i="11" s="1"/>
  <c r="H20" i="10"/>
  <c r="D20" i="6"/>
  <c r="D20" i="11"/>
  <c r="D20" i="10"/>
  <c r="I18" i="11"/>
  <c r="I18" i="10"/>
  <c r="E18" i="11"/>
  <c r="E18" i="10"/>
  <c r="I19" i="11"/>
  <c r="I19" i="10"/>
  <c r="C28" i="5"/>
  <c r="E28" i="5"/>
  <c r="J14" i="11"/>
  <c r="O140" i="2"/>
  <c r="H19" i="6"/>
  <c r="I19" i="6"/>
  <c r="Q140" i="2"/>
  <c r="N140" i="2"/>
  <c r="H18" i="6"/>
  <c r="F140" i="2"/>
  <c r="F151" i="2" s="1"/>
  <c r="I18" i="6"/>
  <c r="H140" i="2"/>
  <c r="B140" i="2"/>
  <c r="B151" i="2" s="1"/>
  <c r="J140" i="2"/>
  <c r="J151" i="2" s="1"/>
  <c r="E18" i="6"/>
  <c r="O151" i="2"/>
  <c r="P151" i="2"/>
  <c r="T140" i="2"/>
  <c r="T151" i="2" s="1"/>
  <c r="S140" i="2"/>
  <c r="S151" i="2" s="1"/>
  <c r="R140" i="2"/>
  <c r="R151" i="2" s="1"/>
  <c r="E140" i="2"/>
  <c r="E151" i="2" s="1"/>
  <c r="M140" i="2"/>
  <c r="M151" i="2" s="1"/>
  <c r="V140" i="2"/>
  <c r="V151" i="2" s="1"/>
  <c r="D18" i="6"/>
  <c r="Q151" i="2"/>
  <c r="I140" i="2"/>
  <c r="I151" i="2" s="1"/>
  <c r="F10" i="6"/>
  <c r="G10" i="6" s="1"/>
  <c r="D13" i="6"/>
  <c r="D14" i="6" s="1"/>
  <c r="U140" i="2"/>
  <c r="U151" i="2" s="1"/>
  <c r="E13" i="6"/>
  <c r="E14" i="6" s="1"/>
  <c r="N151" i="2"/>
  <c r="C140" i="2"/>
  <c r="C151" i="2" s="1"/>
  <c r="K140" i="2"/>
  <c r="K151" i="2" s="1"/>
  <c r="G140" i="2"/>
  <c r="G151" i="2" s="1"/>
  <c r="D140" i="2"/>
  <c r="D151" i="2" s="1"/>
  <c r="L140" i="2"/>
  <c r="L151" i="2" s="1"/>
  <c r="H151" i="2"/>
  <c r="M57" i="1"/>
  <c r="L57" i="1"/>
  <c r="K57" i="1"/>
  <c r="J57" i="1"/>
  <c r="I57" i="1"/>
  <c r="H57" i="1"/>
  <c r="G57" i="1"/>
  <c r="F57" i="1"/>
  <c r="E57" i="1"/>
  <c r="D57" i="1"/>
  <c r="C57" i="1"/>
  <c r="M47" i="1"/>
  <c r="L47" i="1"/>
  <c r="K47" i="1"/>
  <c r="J47" i="1"/>
  <c r="I47" i="1"/>
  <c r="H47" i="1"/>
  <c r="G47" i="1"/>
  <c r="F47" i="1"/>
  <c r="E47" i="1"/>
  <c r="D47" i="1"/>
  <c r="C47" i="1"/>
  <c r="B47" i="1"/>
  <c r="M42" i="1"/>
  <c r="L42" i="1"/>
  <c r="L49" i="1" s="1"/>
  <c r="K42" i="1"/>
  <c r="J42" i="1"/>
  <c r="I42" i="1"/>
  <c r="H42" i="1"/>
  <c r="G42" i="1"/>
  <c r="G49" i="1" s="1"/>
  <c r="G59" i="1" s="1"/>
  <c r="F42" i="1"/>
  <c r="F49" i="1" s="1"/>
  <c r="E42" i="1"/>
  <c r="D42" i="1"/>
  <c r="D49" i="1" s="1"/>
  <c r="C42" i="1"/>
  <c r="B42" i="1"/>
  <c r="M30" i="1"/>
  <c r="L30" i="1"/>
  <c r="K30" i="1"/>
  <c r="J30" i="1"/>
  <c r="I30" i="1"/>
  <c r="H30" i="1"/>
  <c r="G30" i="1"/>
  <c r="F30" i="1"/>
  <c r="E30" i="1"/>
  <c r="D30" i="1"/>
  <c r="C30" i="1"/>
  <c r="B30" i="1"/>
  <c r="M26" i="1"/>
  <c r="L26" i="1"/>
  <c r="K26" i="1"/>
  <c r="J26" i="1"/>
  <c r="I26" i="1"/>
  <c r="H26" i="1"/>
  <c r="G26" i="1"/>
  <c r="F26" i="1"/>
  <c r="E26" i="1"/>
  <c r="D26" i="1"/>
  <c r="C26" i="1"/>
  <c r="B26" i="1"/>
  <c r="M18" i="1"/>
  <c r="L18" i="1"/>
  <c r="K18" i="1"/>
  <c r="J18" i="1"/>
  <c r="I18" i="1"/>
  <c r="H18" i="1"/>
  <c r="G18" i="1"/>
  <c r="F18" i="1"/>
  <c r="E18" i="1"/>
  <c r="D18" i="1"/>
  <c r="C18" i="1"/>
  <c r="B18" i="1"/>
  <c r="V57" i="1"/>
  <c r="U57" i="1"/>
  <c r="T57" i="1"/>
  <c r="S57" i="1"/>
  <c r="R57" i="1"/>
  <c r="Q57" i="1"/>
  <c r="P57" i="1"/>
  <c r="O57" i="1"/>
  <c r="N57" i="1"/>
  <c r="V47" i="1"/>
  <c r="U47" i="1"/>
  <c r="T47" i="1"/>
  <c r="S47" i="1"/>
  <c r="R47" i="1"/>
  <c r="Q47" i="1"/>
  <c r="P47" i="1"/>
  <c r="O47" i="1"/>
  <c r="N47" i="1"/>
  <c r="V42" i="1"/>
  <c r="U42" i="1"/>
  <c r="T42" i="1"/>
  <c r="S42" i="1"/>
  <c r="R42" i="1"/>
  <c r="Q42" i="1"/>
  <c r="P42" i="1"/>
  <c r="O42" i="1"/>
  <c r="N42" i="1"/>
  <c r="V30" i="1"/>
  <c r="U30" i="1"/>
  <c r="T30" i="1"/>
  <c r="S30" i="1"/>
  <c r="R30" i="1"/>
  <c r="Q30" i="1"/>
  <c r="P30" i="1"/>
  <c r="O30" i="1"/>
  <c r="N30" i="1"/>
  <c r="V26" i="1"/>
  <c r="U26" i="1"/>
  <c r="T26" i="1"/>
  <c r="S26" i="1"/>
  <c r="R26" i="1"/>
  <c r="Q26" i="1"/>
  <c r="P26" i="1"/>
  <c r="O26" i="1"/>
  <c r="N26" i="1"/>
  <c r="V18" i="1"/>
  <c r="U18" i="1"/>
  <c r="T18" i="1"/>
  <c r="S18" i="1"/>
  <c r="R18" i="1"/>
  <c r="Q18" i="1"/>
  <c r="P18" i="1"/>
  <c r="O18" i="1"/>
  <c r="N18" i="1"/>
  <c r="F22" i="6" l="1"/>
  <c r="G22" i="6" s="1"/>
  <c r="F20" i="6"/>
  <c r="G20" i="6" s="1"/>
  <c r="E23" i="6"/>
  <c r="E24" i="6" s="1"/>
  <c r="F19" i="6"/>
  <c r="G19" i="6" s="1"/>
  <c r="F21" i="6"/>
  <c r="G21" i="6" s="1"/>
  <c r="F20" i="11"/>
  <c r="G20" i="11" s="1"/>
  <c r="O49" i="1"/>
  <c r="O59" i="1" s="1"/>
  <c r="D59" i="1"/>
  <c r="L59" i="1"/>
  <c r="E23" i="11"/>
  <c r="J20" i="6"/>
  <c r="K20" i="6" s="1"/>
  <c r="J19" i="11"/>
  <c r="K19" i="11" s="1"/>
  <c r="F22" i="11"/>
  <c r="G22" i="11" s="1"/>
  <c r="J22" i="11"/>
  <c r="K22" i="11" s="1"/>
  <c r="H23" i="11"/>
  <c r="J18" i="11"/>
  <c r="K18" i="11" s="1"/>
  <c r="O32" i="1"/>
  <c r="D29" i="6"/>
  <c r="D29" i="10"/>
  <c r="D29" i="11"/>
  <c r="F19" i="11"/>
  <c r="G19" i="11" s="1"/>
  <c r="J21" i="11"/>
  <c r="K21" i="11" s="1"/>
  <c r="T32" i="1"/>
  <c r="Q49" i="1"/>
  <c r="U49" i="1"/>
  <c r="E29" i="6"/>
  <c r="E29" i="11"/>
  <c r="E29" i="10"/>
  <c r="I23" i="11"/>
  <c r="J22" i="6"/>
  <c r="K22" i="6" s="1"/>
  <c r="D23" i="11"/>
  <c r="F18" i="11"/>
  <c r="G18" i="11" s="1"/>
  <c r="F21" i="11"/>
  <c r="G21" i="11" s="1"/>
  <c r="J21" i="6"/>
  <c r="K21" i="6" s="1"/>
  <c r="H23" i="6"/>
  <c r="D42" i="6" s="1"/>
  <c r="D43" i="6" s="1"/>
  <c r="Q59" i="1"/>
  <c r="F59" i="1"/>
  <c r="J19" i="6"/>
  <c r="K19" i="6" s="1"/>
  <c r="J18" i="6"/>
  <c r="K18" i="6" s="1"/>
  <c r="I23" i="6"/>
  <c r="I24" i="6" s="1"/>
  <c r="U32" i="1"/>
  <c r="P49" i="1"/>
  <c r="P59" i="1" s="1"/>
  <c r="T49" i="1"/>
  <c r="T59" i="1" s="1"/>
  <c r="R49" i="1"/>
  <c r="R59" i="1" s="1"/>
  <c r="F14" i="6"/>
  <c r="F15" i="6"/>
  <c r="G15" i="6" s="1"/>
  <c r="E26" i="6"/>
  <c r="F13" i="6"/>
  <c r="G13" i="6" s="1"/>
  <c r="N32" i="1"/>
  <c r="V32" i="1"/>
  <c r="S49" i="1"/>
  <c r="S59" i="1" s="1"/>
  <c r="H49" i="1"/>
  <c r="H59" i="1" s="1"/>
  <c r="E32" i="1"/>
  <c r="U59" i="1"/>
  <c r="I49" i="1"/>
  <c r="I59" i="1" s="1"/>
  <c r="Q32" i="1"/>
  <c r="N49" i="1"/>
  <c r="N59" i="1" s="1"/>
  <c r="F18" i="6"/>
  <c r="G18" i="6" s="1"/>
  <c r="D23" i="6"/>
  <c r="D24" i="6" s="1"/>
  <c r="R32" i="1"/>
  <c r="S32" i="1"/>
  <c r="P32" i="1"/>
  <c r="V49" i="1"/>
  <c r="V59" i="1" s="1"/>
  <c r="F32" i="1"/>
  <c r="B32" i="1"/>
  <c r="J32" i="1"/>
  <c r="B49" i="1"/>
  <c r="J49" i="1"/>
  <c r="J59" i="1" s="1"/>
  <c r="G32" i="1"/>
  <c r="C32" i="1"/>
  <c r="K32" i="1"/>
  <c r="C49" i="1"/>
  <c r="C59" i="1" s="1"/>
  <c r="K49" i="1"/>
  <c r="K59" i="1" s="1"/>
  <c r="H32" i="1"/>
  <c r="D32" i="1"/>
  <c r="L32" i="1"/>
  <c r="I32" i="1"/>
  <c r="M32" i="1"/>
  <c r="E49" i="1"/>
  <c r="E59" i="1" s="1"/>
  <c r="M49" i="1"/>
  <c r="M59" i="1" s="1"/>
  <c r="F29" i="6" l="1"/>
  <c r="G29" i="6" s="1"/>
  <c r="I24" i="11"/>
  <c r="I26" i="11"/>
  <c r="E24" i="11"/>
  <c r="E26" i="11"/>
  <c r="F29" i="11"/>
  <c r="G29" i="11" s="1"/>
  <c r="F23" i="11"/>
  <c r="G23" i="11" s="1"/>
  <c r="D24" i="11"/>
  <c r="F24" i="11" s="1"/>
  <c r="G24" i="11" s="1"/>
  <c r="D26" i="11"/>
  <c r="H24" i="11"/>
  <c r="J24" i="11" s="1"/>
  <c r="K24" i="11" s="1"/>
  <c r="H26" i="11"/>
  <c r="J26" i="11" s="1"/>
  <c r="K26" i="11" s="1"/>
  <c r="D42" i="11"/>
  <c r="D43" i="11" s="1"/>
  <c r="J23" i="11"/>
  <c r="K23" i="11" s="1"/>
  <c r="H26" i="6"/>
  <c r="H24" i="6"/>
  <c r="J24" i="6" s="1"/>
  <c r="K24" i="6" s="1"/>
  <c r="I26" i="6"/>
  <c r="J23" i="6"/>
  <c r="K23" i="6" s="1"/>
  <c r="F23" i="6"/>
  <c r="G23" i="6" s="1"/>
  <c r="F24" i="6"/>
  <c r="G24" i="6" s="1"/>
  <c r="D26" i="6"/>
  <c r="F26" i="6" s="1"/>
  <c r="G26" i="6" s="1"/>
  <c r="B57" i="1"/>
  <c r="B59" i="1" s="1"/>
  <c r="F26" i="11" l="1"/>
  <c r="G26" i="11" s="1"/>
  <c r="J26" i="6"/>
  <c r="K26" i="6" s="1"/>
</calcChain>
</file>

<file path=xl/sharedStrings.xml><?xml version="1.0" encoding="utf-8"?>
<sst xmlns="http://schemas.openxmlformats.org/spreadsheetml/2006/main" count="409" uniqueCount="202">
  <si>
    <t/>
  </si>
  <si>
    <t>ASSETS</t>
  </si>
  <si>
    <t>Current Assets</t>
  </si>
  <si>
    <t>Petty Cash</t>
  </si>
  <si>
    <t>Interbank Transfers</t>
  </si>
  <si>
    <t>Accounts Receivable</t>
  </si>
  <si>
    <t>Total Current Assets</t>
  </si>
  <si>
    <t>Property and Equipment</t>
  </si>
  <si>
    <t>Leasehold Improvements</t>
  </si>
  <si>
    <t>Furniture &amp; Fixtures</t>
  </si>
  <si>
    <t>Computer Equipment</t>
  </si>
  <si>
    <t>Accumulated Depreciation</t>
  </si>
  <si>
    <t>Total Property and Equipment</t>
  </si>
  <si>
    <t>Other Assets</t>
  </si>
  <si>
    <t>Total Other Assets</t>
  </si>
  <si>
    <t>Total Assets</t>
  </si>
  <si>
    <t>LIABILITIES AND CAPITAL</t>
  </si>
  <si>
    <t>Current Liabilities</t>
  </si>
  <si>
    <t>401K Liability</t>
  </si>
  <si>
    <t>Profit Sharing Liability</t>
  </si>
  <si>
    <t>Total Current Liabilities</t>
  </si>
  <si>
    <t>Long-Term Liabilities</t>
  </si>
  <si>
    <t>Total Long-Term Liabilities</t>
  </si>
  <si>
    <t>Total Liabilities</t>
  </si>
  <si>
    <t>Capital</t>
  </si>
  <si>
    <t>Common Stock</t>
  </si>
  <si>
    <t>Retained Earnings</t>
  </si>
  <si>
    <t>Dividends</t>
  </si>
  <si>
    <t>Net Income</t>
  </si>
  <si>
    <t>Total Capital</t>
  </si>
  <si>
    <t>Total Liabilities &amp; Capital</t>
  </si>
  <si>
    <t xml:space="preserve">
</t>
  </si>
  <si>
    <t>Revenues</t>
  </si>
  <si>
    <t>Gross Revenues</t>
  </si>
  <si>
    <t>Misc Charges</t>
  </si>
  <si>
    <t>Adjustments-Patient Refund</t>
  </si>
  <si>
    <t>Adjustments</t>
  </si>
  <si>
    <t>OPERATING EXPENSES</t>
  </si>
  <si>
    <t>Human Resources</t>
  </si>
  <si>
    <t>Physican &amp; Mid-Level Expenses</t>
  </si>
  <si>
    <t>Physician Salaries</t>
  </si>
  <si>
    <t>Mid-Level Salaries</t>
  </si>
  <si>
    <t>Physician Bonuses</t>
  </si>
  <si>
    <t>Mid-Level Bonuses</t>
  </si>
  <si>
    <t>Physician Health Insurance</t>
  </si>
  <si>
    <t>Mid-Level Health Insurance</t>
  </si>
  <si>
    <t>Physician Dental Insurance</t>
  </si>
  <si>
    <t>Mid-Level Dental Insurance</t>
  </si>
  <si>
    <t>401K - Physician</t>
  </si>
  <si>
    <t>401K - Midlevel</t>
  </si>
  <si>
    <t>Physician Life Insurance</t>
  </si>
  <si>
    <t>Mid-Level Life Insurance</t>
  </si>
  <si>
    <t>Physician Prof Development</t>
  </si>
  <si>
    <t>Mid-Level Prof Development</t>
  </si>
  <si>
    <t>Physician Dues</t>
  </si>
  <si>
    <t>Mid-Level Dues</t>
  </si>
  <si>
    <t>Physician Mtg &amp; Travel</t>
  </si>
  <si>
    <t>Mid-Level Mtg &amp; Travel</t>
  </si>
  <si>
    <t>Physician Automobiles</t>
  </si>
  <si>
    <t>Total Phys - Mid Level Expenses</t>
  </si>
  <si>
    <t>Billing Staff Salaries</t>
  </si>
  <si>
    <t>Shared Salaries</t>
  </si>
  <si>
    <t>Family Practice Staff Salaries</t>
  </si>
  <si>
    <t>Front Office Staff Salaries</t>
  </si>
  <si>
    <t>Pediatric Staff Salaries</t>
  </si>
  <si>
    <t>Clinical Staff Salaries</t>
  </si>
  <si>
    <t>Administrative Salaries</t>
  </si>
  <si>
    <t>Payroll Taxes</t>
  </si>
  <si>
    <t>Workman's Compensation</t>
  </si>
  <si>
    <t>Life insurance - physicians</t>
  </si>
  <si>
    <t>Insurance- Staff Health</t>
  </si>
  <si>
    <t>Insurance- Staff Dental</t>
  </si>
  <si>
    <t>Health premiums</t>
  </si>
  <si>
    <t>3% 401K Physicians</t>
  </si>
  <si>
    <t>401K - 3%</t>
  </si>
  <si>
    <t>401K loan</t>
  </si>
  <si>
    <t>Profit Sharing Plan</t>
  </si>
  <si>
    <t>Garnishment</t>
  </si>
  <si>
    <t>Professional Dev. - Staff</t>
  </si>
  <si>
    <t>Professional Dev. - Manager</t>
  </si>
  <si>
    <t>Mtg. &amp; Travel - Manager</t>
  </si>
  <si>
    <t>Bonuses</t>
  </si>
  <si>
    <t>Physical Resource Expense</t>
  </si>
  <si>
    <t>Medications-Family Practice</t>
  </si>
  <si>
    <t>Medications</t>
  </si>
  <si>
    <t>Medical Supplies</t>
  </si>
  <si>
    <t>Medical Supplies - Family Pr</t>
  </si>
  <si>
    <t>Gowns and linens</t>
  </si>
  <si>
    <t>Rent Expense</t>
  </si>
  <si>
    <t>Monument office Rent</t>
  </si>
  <si>
    <t>Property Taxes</t>
  </si>
  <si>
    <t>Building Insurance</t>
  </si>
  <si>
    <t>Bond insurnace - 401K</t>
  </si>
  <si>
    <t>Employment practices insurance</t>
  </si>
  <si>
    <t>Utilities</t>
  </si>
  <si>
    <t>Utilities - Monument</t>
  </si>
  <si>
    <t>Building Cleaning Expense</t>
  </si>
  <si>
    <t>Depreciation</t>
  </si>
  <si>
    <t>Amicore Lease</t>
  </si>
  <si>
    <t>Computer Training</t>
  </si>
  <si>
    <t>Telephone lease - Monument</t>
  </si>
  <si>
    <t>Equipment Lease</t>
  </si>
  <si>
    <t>Maint &amp; Repair - Office</t>
  </si>
  <si>
    <t>Maint &amp; Repair - Monument</t>
  </si>
  <si>
    <t>Maint &amp; Repair - Medical</t>
  </si>
  <si>
    <t>Maint &amp; Repair - Billing</t>
  </si>
  <si>
    <t>Maintenance - computer</t>
  </si>
  <si>
    <t>Purchased Services</t>
  </si>
  <si>
    <t>Laboratory</t>
  </si>
  <si>
    <t>Accounting Fees</t>
  </si>
  <si>
    <t>Legal Fees</t>
  </si>
  <si>
    <t>Management Consulting Fees</t>
  </si>
  <si>
    <t>Temporary Help</t>
  </si>
  <si>
    <t>Payroll Expenses</t>
  </si>
  <si>
    <t>Purchased Services - Billing</t>
  </si>
  <si>
    <t>Purchased services - 401K-PS</t>
  </si>
  <si>
    <t>Medical Records Storage</t>
  </si>
  <si>
    <t>Transcription-Peds</t>
  </si>
  <si>
    <t>Recruitment</t>
  </si>
  <si>
    <t>Physician Recruitment</t>
  </si>
  <si>
    <t>General &amp; Administrative Expenses</t>
  </si>
  <si>
    <t>Entertainment</t>
  </si>
  <si>
    <t>Gifts</t>
  </si>
  <si>
    <t>Kitchen Supplies</t>
  </si>
  <si>
    <t>Medical Waste</t>
  </si>
  <si>
    <t>Malpractice Insurance</t>
  </si>
  <si>
    <t>Malpractice Tail Coverage</t>
  </si>
  <si>
    <t>Office Supplies</t>
  </si>
  <si>
    <t>Office Supplies-Monument</t>
  </si>
  <si>
    <t>Bank Charges</t>
  </si>
  <si>
    <t>Telephone &amp; Other Comm</t>
  </si>
  <si>
    <t>Telephone-Monument</t>
  </si>
  <si>
    <t>Dues</t>
  </si>
  <si>
    <t>Dues - Peds Hospitalist</t>
  </si>
  <si>
    <t>Advertisement</t>
  </si>
  <si>
    <t>Advertising - Monument</t>
  </si>
  <si>
    <t>Postage</t>
  </si>
  <si>
    <t>Printing</t>
  </si>
  <si>
    <t>Books &amp; Subscriptions</t>
  </si>
  <si>
    <t>Mileage-Staff</t>
  </si>
  <si>
    <t>Interest Expense</t>
  </si>
  <si>
    <t>Expense - LLC</t>
  </si>
  <si>
    <t>Total Operating Expenses</t>
  </si>
  <si>
    <t>OTHER OPERATING REV (EXP)</t>
  </si>
  <si>
    <t>Income - Non Pt</t>
  </si>
  <si>
    <t>Interest Income</t>
  </si>
  <si>
    <t>Income - Kaiser incentive</t>
  </si>
  <si>
    <t>NET INCOME (LOSS)</t>
  </si>
  <si>
    <t>Visits/Encounters</t>
  </si>
  <si>
    <t>YTD</t>
  </si>
  <si>
    <t>Gross Charges</t>
  </si>
  <si>
    <t>Net Revenues</t>
  </si>
  <si>
    <t>Gross %</t>
  </si>
  <si>
    <t>Total A/R</t>
  </si>
  <si>
    <t>Days in AR</t>
  </si>
  <si>
    <t>Days in Month</t>
  </si>
  <si>
    <t xml:space="preserve"> 0-31</t>
  </si>
  <si>
    <t>31-60</t>
  </si>
  <si>
    <t>61-90</t>
  </si>
  <si>
    <t>91-120</t>
  </si>
  <si>
    <t>Over 120</t>
  </si>
  <si>
    <t>Revenue</t>
  </si>
  <si>
    <t>Balance Sheet</t>
  </si>
  <si>
    <t>A/R</t>
  </si>
  <si>
    <t>Cash</t>
  </si>
  <si>
    <t>Operating Expenses</t>
  </si>
  <si>
    <t>Physician &amp; Midlevel Expenses</t>
  </si>
  <si>
    <t>Physician Resources Expenses</t>
  </si>
  <si>
    <t>Net Revenue</t>
  </si>
  <si>
    <t>Productivity</t>
  </si>
  <si>
    <t>Var %</t>
  </si>
  <si>
    <t>Var</t>
  </si>
  <si>
    <t>VBR Revenue</t>
  </si>
  <si>
    <t>Total Expenses</t>
  </si>
  <si>
    <t xml:space="preserve">Total Revenue </t>
  </si>
  <si>
    <t>Human Capital</t>
  </si>
  <si>
    <t>Expense per visit (excl MD &amp; ML)</t>
  </si>
  <si>
    <t>MGMA Benchmarks</t>
  </si>
  <si>
    <t>Total Revenue per Physician</t>
  </si>
  <si>
    <t>Expense</t>
  </si>
  <si>
    <t>Operating Expense Per Physician</t>
  </si>
  <si>
    <t>Operating Expense % of Revenue</t>
  </si>
  <si>
    <t>Encounters per Physician</t>
  </si>
  <si>
    <t>Encounters</t>
  </si>
  <si>
    <t>Total Charges per Visit</t>
  </si>
  <si>
    <t>Gross Collections %</t>
  </si>
  <si>
    <t>Total Property &amp; Equipment</t>
  </si>
  <si>
    <t>CMGMA</t>
  </si>
  <si>
    <t>Loan from Bank</t>
  </si>
  <si>
    <t>Money Market Account</t>
  </si>
  <si>
    <t>Operating Account</t>
  </si>
  <si>
    <t>Billing Revenue Account</t>
  </si>
  <si>
    <t>Total Revenue per Encounter</t>
  </si>
  <si>
    <t>Days in AR     =</t>
  </si>
  <si>
    <t>Receivables</t>
  </si>
  <si>
    <t>Average charges per day</t>
  </si>
  <si>
    <r>
      <t xml:space="preserve">= AR </t>
    </r>
    <r>
      <rPr>
        <sz val="10"/>
        <rFont val="Calibri"/>
        <family val="2"/>
      </rPr>
      <t>÷</t>
    </r>
    <r>
      <rPr>
        <sz val="10"/>
        <rFont val="Arial"/>
        <family val="2"/>
      </rPr>
      <t xml:space="preserve"> (Gross Charges/days in month)</t>
    </r>
  </si>
  <si>
    <t>= AR X days in month ÷ Gross Charges</t>
  </si>
  <si>
    <t>Monthly Encounters Starting January 1, 2016</t>
  </si>
  <si>
    <t>YTD 2017</t>
  </si>
  <si>
    <t>YTD 2016</t>
  </si>
  <si>
    <t>MGMA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</si>
</sst>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* #,##0.00;\(&quot;$&quot;* #,##0.00\)"/>
    <numFmt numFmtId="165" formatCode="#,##0.00;\(#,##0.00\)"/>
    <numFmt numFmtId="166" formatCode="#,###"/>
    <numFmt numFmtId="167" formatCode="&quot;$&quot;#,##0"/>
    <numFmt numFmtId="168" formatCode="[$-409]mmmm\ d\,\ yyyy;@"/>
    <numFmt numFmtId="169" formatCode="_(* #,##0_);_(* \(#,##0\);_(* &quot;-&quot;??_);_(@_)"/>
    <numFmt numFmtId="170" formatCode="_(&quot;$&quot;* #,##0_);_(&quot;$&quot;* \(#,##0\);_(&quot;$&quot;* &quot;-&quot;??_);_(@_)"/>
    <numFmt numFmtId="171" formatCode="&quot;$&quot;#,##0.00"/>
    <numFmt numFmtId="172" formatCode="0.0%"/>
  </numFmts>
  <fonts count="11" x14ac:knownFonts="1">
    <font>
      <sz val="11"/>
      <color theme="1"/>
      <name val="Arial"/>
      <family val="2"/>
    </font>
    <font>
      <sz val="10"/>
      <color rgb="FF000000"/>
      <name val="Times New Roman"/>
      <family val="1"/>
    </font>
    <font>
      <b/>
      <sz val="11"/>
      <color theme="1"/>
      <name val="Arial"/>
      <family val="2"/>
    </font>
    <font>
      <sz val="8"/>
      <color rgb="FF00000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name val="Calibri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32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165" fontId="0" fillId="0" borderId="1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165" fontId="0" fillId="0" borderId="4" xfId="0" applyNumberFormat="1" applyBorder="1" applyAlignment="1">
      <alignment horizontal="right"/>
    </xf>
    <xf numFmtId="49" fontId="1" fillId="0" borderId="0" xfId="0" applyNumberFormat="1" applyFont="1" applyAlignment="1">
      <alignment horizontal="center"/>
    </xf>
    <xf numFmtId="0" fontId="3" fillId="0" borderId="0" xfId="0" applyFont="1"/>
    <xf numFmtId="166" fontId="2" fillId="2" borderId="6" xfId="0" applyNumberFormat="1" applyFont="1" applyFill="1" applyBorder="1"/>
    <xf numFmtId="14" fontId="2" fillId="2" borderId="5" xfId="0" applyNumberFormat="1" applyFont="1" applyFill="1" applyBorder="1"/>
    <xf numFmtId="0" fontId="5" fillId="0" borderId="0" xfId="1" applyFont="1"/>
    <xf numFmtId="0" fontId="4" fillId="0" borderId="0" xfId="1"/>
    <xf numFmtId="14" fontId="4" fillId="0" borderId="0" xfId="1" applyNumberFormat="1"/>
    <xf numFmtId="0" fontId="4" fillId="0" borderId="0" xfId="1" applyBorder="1"/>
    <xf numFmtId="167" fontId="4" fillId="0" borderId="0" xfId="1" applyNumberFormat="1" applyBorder="1"/>
    <xf numFmtId="167" fontId="5" fillId="0" borderId="0" xfId="1" applyNumberFormat="1" applyFont="1" applyBorder="1"/>
    <xf numFmtId="0" fontId="5" fillId="0" borderId="0" xfId="1" applyFont="1" applyBorder="1"/>
    <xf numFmtId="9" fontId="4" fillId="0" borderId="0" xfId="1" applyNumberFormat="1" applyBorder="1"/>
    <xf numFmtId="9" fontId="5" fillId="0" borderId="0" xfId="1" applyNumberFormat="1" applyFont="1" applyBorder="1"/>
    <xf numFmtId="0" fontId="6" fillId="0" borderId="0" xfId="1" applyFont="1"/>
    <xf numFmtId="4" fontId="4" fillId="0" borderId="0" xfId="1" applyNumberFormat="1" applyBorder="1"/>
    <xf numFmtId="0" fontId="6" fillId="0" borderId="0" xfId="1" applyFont="1" applyBorder="1"/>
    <xf numFmtId="0" fontId="4" fillId="0" borderId="0" xfId="1" applyFill="1" applyBorder="1"/>
    <xf numFmtId="0" fontId="4" fillId="0" borderId="0" xfId="1" quotePrefix="1" applyBorder="1"/>
    <xf numFmtId="10" fontId="4" fillId="0" borderId="0" xfId="1" applyNumberFormat="1" applyBorder="1"/>
    <xf numFmtId="167" fontId="4" fillId="0" borderId="0" xfId="1" applyNumberFormat="1"/>
    <xf numFmtId="10" fontId="4" fillId="0" borderId="0" xfId="1" applyNumberFormat="1"/>
    <xf numFmtId="14" fontId="1" fillId="0" borderId="0" xfId="0" applyNumberFormat="1" applyFont="1" applyAlignment="1">
      <alignment horizontal="center" wrapText="1"/>
    </xf>
    <xf numFmtId="14" fontId="1" fillId="0" borderId="0" xfId="0" applyNumberFormat="1" applyFont="1"/>
    <xf numFmtId="14" fontId="1" fillId="0" borderId="0" xfId="0" applyNumberFormat="1" applyFont="1" applyAlignment="1">
      <alignment horizontal="center"/>
    </xf>
    <xf numFmtId="14" fontId="0" fillId="0" borderId="0" xfId="0" applyNumberFormat="1"/>
    <xf numFmtId="170" fontId="0" fillId="0" borderId="0" xfId="3" applyNumberFormat="1" applyFont="1"/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0" fillId="0" borderId="0" xfId="0" applyFont="1"/>
    <xf numFmtId="0" fontId="0" fillId="4" borderId="10" xfId="0" applyFill="1" applyBorder="1"/>
    <xf numFmtId="0" fontId="0" fillId="4" borderId="0" xfId="0" applyFill="1" applyBorder="1"/>
    <xf numFmtId="0" fontId="0" fillId="4" borderId="11" xfId="0" applyFill="1" applyBorder="1"/>
    <xf numFmtId="0" fontId="0" fillId="3" borderId="10" xfId="0" applyFill="1" applyBorder="1"/>
    <xf numFmtId="0" fontId="0" fillId="3" borderId="0" xfId="0" applyFill="1" applyBorder="1"/>
    <xf numFmtId="0" fontId="0" fillId="3" borderId="11" xfId="0" applyFill="1" applyBorder="1"/>
    <xf numFmtId="0" fontId="2" fillId="3" borderId="10" xfId="0" applyFont="1" applyFill="1" applyBorder="1"/>
    <xf numFmtId="169" fontId="0" fillId="4" borderId="0" xfId="2" applyNumberFormat="1" applyFont="1" applyFill="1" applyBorder="1"/>
    <xf numFmtId="169" fontId="0" fillId="4" borderId="0" xfId="0" applyNumberFormat="1" applyFill="1" applyBorder="1"/>
    <xf numFmtId="10" fontId="0" fillId="4" borderId="0" xfId="4" applyNumberFormat="1" applyFont="1" applyFill="1" applyBorder="1"/>
    <xf numFmtId="10" fontId="0" fillId="4" borderId="11" xfId="4" applyNumberFormat="1" applyFont="1" applyFill="1" applyBorder="1"/>
    <xf numFmtId="170" fontId="0" fillId="4" borderId="0" xfId="3" applyNumberFormat="1" applyFont="1" applyFill="1" applyBorder="1"/>
    <xf numFmtId="169" fontId="0" fillId="3" borderId="0" xfId="2" applyNumberFormat="1" applyFont="1" applyFill="1" applyBorder="1"/>
    <xf numFmtId="169" fontId="0" fillId="3" borderId="0" xfId="0" applyNumberFormat="1" applyFill="1" applyBorder="1"/>
    <xf numFmtId="10" fontId="0" fillId="3" borderId="0" xfId="4" applyNumberFormat="1" applyFont="1" applyFill="1" applyBorder="1"/>
    <xf numFmtId="10" fontId="0" fillId="3" borderId="11" xfId="4" applyNumberFormat="1" applyFont="1" applyFill="1" applyBorder="1"/>
    <xf numFmtId="44" fontId="0" fillId="3" borderId="0" xfId="3" applyFont="1" applyFill="1" applyBorder="1"/>
    <xf numFmtId="44" fontId="0" fillId="3" borderId="0" xfId="3" applyNumberFormat="1" applyFont="1" applyFill="1" applyBorder="1"/>
    <xf numFmtId="170" fontId="0" fillId="3" borderId="0" xfId="3" applyNumberFormat="1" applyFont="1" applyFill="1" applyBorder="1"/>
    <xf numFmtId="170" fontId="0" fillId="4" borderId="0" xfId="0" applyNumberFormat="1" applyFill="1" applyBorder="1"/>
    <xf numFmtId="0" fontId="0" fillId="4" borderId="12" xfId="0" applyFill="1" applyBorder="1"/>
    <xf numFmtId="0" fontId="0" fillId="4" borderId="3" xfId="0" applyFill="1" applyBorder="1"/>
    <xf numFmtId="170" fontId="0" fillId="4" borderId="3" xfId="3" applyNumberFormat="1" applyFont="1" applyFill="1" applyBorder="1"/>
    <xf numFmtId="10" fontId="0" fillId="4" borderId="3" xfId="4" applyNumberFormat="1" applyFont="1" applyFill="1" applyBorder="1"/>
    <xf numFmtId="0" fontId="0" fillId="4" borderId="13" xfId="0" applyFill="1" applyBorder="1"/>
    <xf numFmtId="0" fontId="0" fillId="3" borderId="8" xfId="0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3" borderId="7" xfId="0" applyFont="1" applyFill="1" applyBorder="1"/>
    <xf numFmtId="0" fontId="2" fillId="4" borderId="10" xfId="0" applyFont="1" applyFill="1" applyBorder="1"/>
    <xf numFmtId="169" fontId="0" fillId="3" borderId="11" xfId="2" applyNumberFormat="1" applyFont="1" applyFill="1" applyBorder="1"/>
    <xf numFmtId="170" fontId="0" fillId="4" borderId="11" xfId="3" applyNumberFormat="1" applyFont="1" applyFill="1" applyBorder="1"/>
    <xf numFmtId="170" fontId="0" fillId="3" borderId="11" xfId="3" applyNumberFormat="1" applyFont="1" applyFill="1" applyBorder="1"/>
    <xf numFmtId="10" fontId="0" fillId="4" borderId="13" xfId="4" applyNumberFormat="1" applyFont="1" applyFill="1" applyBorder="1"/>
    <xf numFmtId="0" fontId="2" fillId="4" borderId="1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171" fontId="4" fillId="0" borderId="0" xfId="1" applyNumberFormat="1"/>
    <xf numFmtId="0" fontId="0" fillId="0" borderId="0" xfId="0"/>
    <xf numFmtId="166" fontId="0" fillId="0" borderId="0" xfId="0" applyNumberFormat="1"/>
    <xf numFmtId="0" fontId="8" fillId="0" borderId="0" xfId="0" applyFont="1"/>
    <xf numFmtId="43" fontId="0" fillId="3" borderId="0" xfId="2" applyFont="1" applyFill="1" applyBorder="1"/>
    <xf numFmtId="172" fontId="0" fillId="3" borderId="0" xfId="4" applyNumberFormat="1" applyFont="1" applyFill="1" applyBorder="1"/>
    <xf numFmtId="44" fontId="0" fillId="4" borderId="0" xfId="3" applyFont="1" applyFill="1" applyBorder="1"/>
    <xf numFmtId="44" fontId="0" fillId="4" borderId="0" xfId="3" applyNumberFormat="1" applyFont="1" applyFill="1" applyBorder="1"/>
    <xf numFmtId="0" fontId="0" fillId="4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3" xfId="0" applyFill="1" applyBorder="1"/>
    <xf numFmtId="170" fontId="0" fillId="3" borderId="3" xfId="3" applyNumberFormat="1" applyFont="1" applyFill="1" applyBorder="1"/>
    <xf numFmtId="10" fontId="0" fillId="3" borderId="3" xfId="4" applyNumberFormat="1" applyFont="1" applyFill="1" applyBorder="1"/>
    <xf numFmtId="0" fontId="2" fillId="3" borderId="12" xfId="0" applyFont="1" applyFill="1" applyBorder="1"/>
    <xf numFmtId="10" fontId="0" fillId="3" borderId="13" xfId="4" applyNumberFormat="1" applyFont="1" applyFill="1" applyBorder="1"/>
    <xf numFmtId="44" fontId="1" fillId="0" borderId="0" xfId="0" applyNumberFormat="1" applyFont="1"/>
    <xf numFmtId="0" fontId="2" fillId="4" borderId="0" xfId="0" applyFont="1" applyFill="1" applyBorder="1"/>
    <xf numFmtId="168" fontId="2" fillId="4" borderId="0" xfId="0" applyNumberFormat="1" applyFont="1" applyFill="1" applyBorder="1"/>
    <xf numFmtId="0" fontId="2" fillId="4" borderId="11" xfId="0" applyFont="1" applyFill="1" applyBorder="1"/>
    <xf numFmtId="9" fontId="4" fillId="0" borderId="0" xfId="4" applyFont="1"/>
    <xf numFmtId="9" fontId="4" fillId="0" borderId="0" xfId="1" applyNumberFormat="1"/>
    <xf numFmtId="0" fontId="4" fillId="0" borderId="0" xfId="0" quotePrefix="1" applyFont="1"/>
    <xf numFmtId="0" fontId="4" fillId="0" borderId="0" xfId="0" quotePrefix="1" applyFont="1" applyFill="1" applyBorder="1"/>
    <xf numFmtId="0" fontId="10" fillId="0" borderId="0" xfId="0" applyFont="1"/>
    <xf numFmtId="0" fontId="2" fillId="4" borderId="1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0" fillId="4" borderId="1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8" fontId="2" fillId="4" borderId="14" xfId="0" applyNumberFormat="1" applyFont="1" applyFill="1" applyBorder="1" applyAlignment="1">
      <alignment horizontal="center"/>
    </xf>
    <xf numFmtId="168" fontId="2" fillId="4" borderId="15" xfId="0" applyNumberFormat="1" applyFont="1" applyFill="1" applyBorder="1" applyAlignment="1">
      <alignment horizontal="center"/>
    </xf>
    <xf numFmtId="168" fontId="2" fillId="4" borderId="16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5">
    <cellStyle name="Comma" xfId="2" builtinId="3"/>
    <cellStyle name="Currency" xfId="3" builtinId="4"/>
    <cellStyle name="Normal" xfId="0" builtinId="0"/>
    <cellStyle name="Normal 2" xfId="1" xr:uid="{00000000-0005-0000-0000-000003000000}"/>
    <cellStyle name="Percent" xfId="4" builtinId="5"/>
  </cellStyles>
  <dxfs count="0"/>
  <tableStyles count="0" defaultTableStyle="TableStyleMedium2" defaultPivotStyle="PivotStyleLight16"/>
  <colors>
    <mruColors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948818897637791E-2"/>
          <c:y val="7.407407407407407E-2"/>
          <c:w val="0.83173062383595497"/>
          <c:h val="0.8338739428404782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trendline>
            <c:trendlineType val="linear"/>
            <c:dispRSqr val="0"/>
            <c:dispEq val="1"/>
            <c:trendlineLbl>
              <c:layout>
                <c:manualLayout>
                  <c:x val="-2.8021907097678365E-3"/>
                  <c:y val="0.16268919510061242"/>
                </c:manualLayout>
              </c:layout>
              <c:numFmt formatCode="General" sourceLinked="0"/>
            </c:trendlineLbl>
          </c:trendline>
          <c:val>
            <c:numRef>
              <c:f>Productivity!$B$4:$Y$4</c:f>
              <c:numCache>
                <c:formatCode>#,###</c:formatCode>
                <c:ptCount val="24"/>
                <c:pt idx="0">
                  <c:v>5835</c:v>
                </c:pt>
                <c:pt idx="1">
                  <c:v>5161</c:v>
                </c:pt>
                <c:pt idx="2">
                  <c:v>5110</c:v>
                </c:pt>
                <c:pt idx="3">
                  <c:v>5049</c:v>
                </c:pt>
                <c:pt idx="4">
                  <c:v>5071</c:v>
                </c:pt>
                <c:pt idx="5">
                  <c:v>4378</c:v>
                </c:pt>
                <c:pt idx="6">
                  <c:v>4984</c:v>
                </c:pt>
                <c:pt idx="7">
                  <c:v>5512</c:v>
                </c:pt>
                <c:pt idx="8">
                  <c:v>5173</c:v>
                </c:pt>
                <c:pt idx="9">
                  <c:v>6170</c:v>
                </c:pt>
                <c:pt idx="10">
                  <c:v>5092</c:v>
                </c:pt>
                <c:pt idx="11">
                  <c:v>4522</c:v>
                </c:pt>
                <c:pt idx="12">
                  <c:v>5335</c:v>
                </c:pt>
                <c:pt idx="13">
                  <c:v>4877</c:v>
                </c:pt>
                <c:pt idx="14">
                  <c:v>5067</c:v>
                </c:pt>
                <c:pt idx="15">
                  <c:v>5135</c:v>
                </c:pt>
                <c:pt idx="16">
                  <c:v>4797</c:v>
                </c:pt>
                <c:pt idx="17">
                  <c:v>4631</c:v>
                </c:pt>
                <c:pt idx="18">
                  <c:v>5077</c:v>
                </c:pt>
                <c:pt idx="19">
                  <c:v>5618</c:v>
                </c:pt>
                <c:pt idx="20">
                  <c:v>5536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9E-4539-AA90-72B5125D4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709504"/>
        <c:axId val="164711040"/>
      </c:lineChart>
      <c:catAx>
        <c:axId val="164709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64711040"/>
        <c:crosses val="autoZero"/>
        <c:auto val="1"/>
        <c:lblAlgn val="ctr"/>
        <c:lblOffset val="100"/>
        <c:noMultiLvlLbl val="0"/>
      </c:catAx>
      <c:valAx>
        <c:axId val="164711040"/>
        <c:scaling>
          <c:orientation val="minMax"/>
        </c:scaling>
        <c:delete val="0"/>
        <c:axPos val="l"/>
        <c:majorGridlines/>
        <c:numFmt formatCode="#,###" sourceLinked="1"/>
        <c:majorTickMark val="out"/>
        <c:minorTickMark val="none"/>
        <c:tickLblPos val="nextTo"/>
        <c:crossAx val="164709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FB35-4B6A-B07F-BEAADE9F8807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FB35-4B6A-B07F-BEAADE9F8807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FB35-4B6A-B07F-BEAADE9F8807}"/>
              </c:ext>
            </c:extLst>
          </c:dPt>
          <c:dPt>
            <c:idx val="3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07-FB35-4B6A-B07F-BEAADE9F8807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FB35-4B6A-B07F-BEAADE9F8807}"/>
              </c:ext>
            </c:extLst>
          </c:dPt>
          <c:dLbls>
            <c:dLbl>
              <c:idx val="3"/>
              <c:layout>
                <c:manualLayout>
                  <c:x val="6.4595144356955375E-2"/>
                  <c:y val="7.8005613881598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35-4B6A-B07F-BEAADE9F880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AR!$A$23:$A$27</c:f>
              <c:strCache>
                <c:ptCount val="5"/>
                <c:pt idx="0">
                  <c:v> 0-31</c:v>
                </c:pt>
                <c:pt idx="1">
                  <c:v>31-60</c:v>
                </c:pt>
                <c:pt idx="2">
                  <c:v>61-90</c:v>
                </c:pt>
                <c:pt idx="3">
                  <c:v>91-120</c:v>
                </c:pt>
                <c:pt idx="4">
                  <c:v>Over 120</c:v>
                </c:pt>
              </c:strCache>
            </c:strRef>
          </c:cat>
          <c:val>
            <c:numRef>
              <c:f>AR!$B$23:$B$27</c:f>
              <c:numCache>
                <c:formatCode>0%</c:formatCode>
                <c:ptCount val="5"/>
                <c:pt idx="0">
                  <c:v>0.70861542312197101</c:v>
                </c:pt>
                <c:pt idx="1">
                  <c:v>7.9248365678252913E-2</c:v>
                </c:pt>
                <c:pt idx="2">
                  <c:v>5.8663550225183846E-2</c:v>
                </c:pt>
                <c:pt idx="3">
                  <c:v>3.9634208212199734E-2</c:v>
                </c:pt>
                <c:pt idx="4">
                  <c:v>0.11383845276239252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35-4B6A-B07F-BEAADE9F8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12" dropStyle="combo" dx="16" fmlaLink="$A$1" fmlaRange="Key!$A$3:$A$14" noThreeD="1" sel="9" val="0"/>
</file>

<file path=xl/ctrlProps/ctrlProp2.xml><?xml version="1.0" encoding="utf-8"?>
<formControlPr xmlns="http://schemas.microsoft.com/office/spreadsheetml/2009/9/main" objectType="Drop" dropLines="12" dropStyle="combo" dx="16" fmlaLink="$A$1" fmlaRange="Key!$A$3:$A$14" noThreeD="1" sel="9" val="0"/>
</file>

<file path=xl/ctrlProps/ctrlProp3.xml><?xml version="1.0" encoding="utf-8"?>
<formControlPr xmlns="http://schemas.microsoft.com/office/spreadsheetml/2009/9/main" objectType="Drop" dropLines="12" dropStyle="combo" dx="16" fmlaLink="$A$1" fmlaRange="Key!$A$3:$A$14" noThreeD="1" sel="9" val="0"/>
</file>

<file path=xl/ctrlProps/ctrlProp4.xml><?xml version="1.0" encoding="utf-8"?>
<formControlPr xmlns="http://schemas.microsoft.com/office/spreadsheetml/2009/9/main" objectType="Drop" dropLines="12" dropStyle="combo" dx="16" fmlaLink="$A$1" fmlaRange="Key!$A$3:$A$14" noThreeD="1" sel="9" val="0"/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0</xdr:row>
          <xdr:rowOff>123825</xdr:rowOff>
        </xdr:from>
        <xdr:to>
          <xdr:col>12</xdr:col>
          <xdr:colOff>28575</xdr:colOff>
          <xdr:row>1</xdr:row>
          <xdr:rowOff>161925</xdr:rowOff>
        </xdr:to>
        <xdr:sp macro="" textlink="">
          <xdr:nvSpPr>
            <xdr:cNvPr id="9217" name="Drop Dow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0</xdr:row>
          <xdr:rowOff>123825</xdr:rowOff>
        </xdr:from>
        <xdr:to>
          <xdr:col>12</xdr:col>
          <xdr:colOff>28575</xdr:colOff>
          <xdr:row>1</xdr:row>
          <xdr:rowOff>161925</xdr:rowOff>
        </xdr:to>
        <xdr:sp macro="" textlink="">
          <xdr:nvSpPr>
            <xdr:cNvPr id="10241" name="Drop Down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2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0</xdr:row>
          <xdr:rowOff>123825</xdr:rowOff>
        </xdr:from>
        <xdr:to>
          <xdr:col>12</xdr:col>
          <xdr:colOff>28575</xdr:colOff>
          <xdr:row>1</xdr:row>
          <xdr:rowOff>161925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3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104774</xdr:colOff>
      <xdr:row>34</xdr:row>
      <xdr:rowOff>14287</xdr:rowOff>
    </xdr:from>
    <xdr:to>
      <xdr:col>10</xdr:col>
      <xdr:colOff>561974</xdr:colOff>
      <xdr:row>48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0</xdr:row>
          <xdr:rowOff>123825</xdr:rowOff>
        </xdr:from>
        <xdr:to>
          <xdr:col>12</xdr:col>
          <xdr:colOff>28575</xdr:colOff>
          <xdr:row>1</xdr:row>
          <xdr:rowOff>161925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4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85731</xdr:colOff>
      <xdr:row>28</xdr:row>
      <xdr:rowOff>85725</xdr:rowOff>
    </xdr:from>
    <xdr:to>
      <xdr:col>9</xdr:col>
      <xdr:colOff>28581</xdr:colOff>
      <xdr:row>45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ummer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Summer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ummer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atMod val="120000"/>
                <a:lumMod val="110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2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30000"/>
                <a:lumMod val="10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A1:K43"/>
  <sheetViews>
    <sheetView tabSelected="1" zoomScale="60" zoomScaleNormal="6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:K2"/>
    </sheetView>
  </sheetViews>
  <sheetFormatPr defaultRowHeight="14.25" x14ac:dyDescent="0.2"/>
  <cols>
    <col min="1" max="1" width="2.625" style="82" customWidth="1"/>
    <col min="2" max="2" width="3.875" style="82" customWidth="1"/>
    <col min="3" max="3" width="30.125" style="82" bestFit="1" customWidth="1"/>
    <col min="4" max="4" width="15.125" style="82" bestFit="1" customWidth="1"/>
    <col min="5" max="5" width="11.5" style="82" customWidth="1"/>
    <col min="6" max="6" width="11.125" style="82" bestFit="1" customWidth="1"/>
    <col min="7" max="7" width="10" style="82" bestFit="1" customWidth="1"/>
    <col min="8" max="9" width="11.125" style="82" bestFit="1" customWidth="1"/>
    <col min="10" max="10" width="11.75" style="82" bestFit="1" customWidth="1"/>
    <col min="11" max="11" width="8" style="82" bestFit="1" customWidth="1"/>
    <col min="12" max="16384" width="9" style="82"/>
  </cols>
  <sheetData>
    <row r="1" spans="1:11" ht="15" x14ac:dyDescent="0.25">
      <c r="A1" s="104">
        <v>1</v>
      </c>
      <c r="B1" s="118" t="s">
        <v>187</v>
      </c>
      <c r="C1" s="119"/>
      <c r="D1" s="119"/>
      <c r="E1" s="119"/>
      <c r="F1" s="119"/>
      <c r="G1" s="119"/>
      <c r="H1" s="119"/>
      <c r="I1" s="119"/>
      <c r="J1" s="119"/>
      <c r="K1" s="120"/>
    </row>
    <row r="2" spans="1:11" ht="15" x14ac:dyDescent="0.25">
      <c r="B2" s="121"/>
      <c r="C2" s="122"/>
      <c r="D2" s="122"/>
      <c r="E2" s="122"/>
      <c r="F2" s="122"/>
      <c r="G2" s="122"/>
      <c r="H2" s="122"/>
      <c r="I2" s="122"/>
      <c r="J2" s="122"/>
      <c r="K2" s="123"/>
    </row>
    <row r="3" spans="1:11" x14ac:dyDescent="0.2">
      <c r="B3" s="44"/>
      <c r="C3" s="45"/>
      <c r="D3" s="45"/>
      <c r="E3" s="45"/>
      <c r="F3" s="45"/>
      <c r="G3" s="45"/>
      <c r="H3" s="45"/>
      <c r="I3" s="45"/>
      <c r="J3" s="45"/>
      <c r="K3" s="46"/>
    </row>
    <row r="4" spans="1:11" ht="15" x14ac:dyDescent="0.25">
      <c r="B4" s="70"/>
      <c r="C4" s="97"/>
      <c r="D4" s="98">
        <f>B2</f>
        <v>0</v>
      </c>
      <c r="E4" s="98">
        <f>D4-365</f>
        <v>-365</v>
      </c>
      <c r="F4" s="97" t="s">
        <v>171</v>
      </c>
      <c r="G4" s="97" t="s">
        <v>170</v>
      </c>
      <c r="H4" s="97" t="s">
        <v>199</v>
      </c>
      <c r="I4" s="97" t="s">
        <v>200</v>
      </c>
      <c r="J4" s="97" t="s">
        <v>171</v>
      </c>
      <c r="K4" s="99" t="s">
        <v>170</v>
      </c>
    </row>
    <row r="5" spans="1:11" ht="15" x14ac:dyDescent="0.25">
      <c r="B5" s="124" t="s">
        <v>169</v>
      </c>
      <c r="C5" s="125"/>
      <c r="D5" s="125"/>
      <c r="E5" s="125"/>
      <c r="F5" s="125"/>
      <c r="G5" s="125"/>
      <c r="H5" s="125"/>
      <c r="I5" s="125"/>
      <c r="J5" s="125"/>
      <c r="K5" s="126"/>
    </row>
    <row r="6" spans="1:11" ht="15" thickBot="1" x14ac:dyDescent="0.25">
      <c r="B6" s="41"/>
      <c r="C6" s="42" t="s">
        <v>183</v>
      </c>
      <c r="D6" s="48"/>
      <c r="E6" s="48"/>
      <c r="F6" s="49"/>
      <c r="G6" s="50"/>
      <c r="H6" s="48"/>
      <c r="I6" s="48"/>
      <c r="J6" s="49"/>
      <c r="K6" s="51"/>
    </row>
    <row r="7" spans="1:11" ht="15" thickBot="1" x14ac:dyDescent="0.25">
      <c r="B7" s="111"/>
      <c r="C7" s="111"/>
      <c r="D7" s="111"/>
      <c r="E7" s="111"/>
      <c r="F7" s="111"/>
      <c r="G7" s="111"/>
      <c r="H7" s="111"/>
      <c r="I7" s="111"/>
      <c r="J7" s="111"/>
      <c r="K7" s="111"/>
    </row>
    <row r="8" spans="1:11" ht="15" x14ac:dyDescent="0.25">
      <c r="B8" s="124" t="s">
        <v>161</v>
      </c>
      <c r="C8" s="125"/>
      <c r="D8" s="125"/>
      <c r="E8" s="125"/>
      <c r="F8" s="125"/>
      <c r="G8" s="125"/>
      <c r="H8" s="125"/>
      <c r="I8" s="125"/>
      <c r="J8" s="125"/>
      <c r="K8" s="126"/>
    </row>
    <row r="9" spans="1:11" x14ac:dyDescent="0.2">
      <c r="B9" s="41"/>
      <c r="C9" s="42" t="s">
        <v>150</v>
      </c>
      <c r="D9" s="52"/>
      <c r="E9" s="52"/>
      <c r="F9" s="52"/>
      <c r="G9" s="50"/>
      <c r="H9" s="52"/>
      <c r="I9" s="52"/>
      <c r="J9" s="52"/>
      <c r="K9" s="51"/>
    </row>
    <row r="10" spans="1:11" x14ac:dyDescent="0.2">
      <c r="B10" s="44"/>
      <c r="C10" s="45" t="s">
        <v>168</v>
      </c>
      <c r="D10" s="53"/>
      <c r="E10" s="53"/>
      <c r="F10" s="54"/>
      <c r="G10" s="55"/>
      <c r="H10" s="53"/>
      <c r="I10" s="53"/>
      <c r="J10" s="54"/>
      <c r="K10" s="56"/>
    </row>
    <row r="11" spans="1:11" x14ac:dyDescent="0.2">
      <c r="B11" s="41"/>
      <c r="C11" s="42" t="s">
        <v>172</v>
      </c>
      <c r="D11" s="48"/>
      <c r="E11" s="48"/>
      <c r="F11" s="49"/>
      <c r="G11" s="50"/>
      <c r="H11" s="48"/>
      <c r="I11" s="48"/>
      <c r="J11" s="49"/>
      <c r="K11" s="51"/>
    </row>
    <row r="12" spans="1:11" x14ac:dyDescent="0.2">
      <c r="B12" s="44"/>
      <c r="C12" s="45" t="s">
        <v>184</v>
      </c>
      <c r="D12" s="85"/>
      <c r="E12" s="85"/>
      <c r="F12" s="85"/>
      <c r="G12" s="55"/>
      <c r="H12" s="85"/>
      <c r="I12" s="85"/>
      <c r="J12" s="85"/>
      <c r="K12" s="56"/>
    </row>
    <row r="13" spans="1:11" x14ac:dyDescent="0.2">
      <c r="B13" s="41"/>
      <c r="C13" s="42" t="s">
        <v>174</v>
      </c>
      <c r="D13" s="48"/>
      <c r="E13" s="48"/>
      <c r="F13" s="49"/>
      <c r="G13" s="50"/>
      <c r="H13" s="48"/>
      <c r="I13" s="48"/>
      <c r="J13" s="49"/>
      <c r="K13" s="51"/>
    </row>
    <row r="14" spans="1:11" x14ac:dyDescent="0.2">
      <c r="B14" s="44"/>
      <c r="C14" s="45" t="s">
        <v>185</v>
      </c>
      <c r="D14" s="86"/>
      <c r="E14" s="86"/>
      <c r="F14" s="55"/>
      <c r="G14" s="55"/>
      <c r="H14" s="86"/>
      <c r="I14" s="86"/>
      <c r="J14" s="55"/>
      <c r="K14" s="56"/>
    </row>
    <row r="15" spans="1:11" x14ac:dyDescent="0.2">
      <c r="B15" s="41"/>
      <c r="C15" s="42" t="s">
        <v>192</v>
      </c>
      <c r="D15" s="87"/>
      <c r="E15" s="87"/>
      <c r="F15" s="88"/>
      <c r="G15" s="50"/>
      <c r="H15" s="87"/>
      <c r="I15" s="87"/>
      <c r="J15" s="88"/>
      <c r="K15" s="51"/>
    </row>
    <row r="16" spans="1:11" x14ac:dyDescent="0.2">
      <c r="B16" s="115"/>
      <c r="C16" s="116"/>
      <c r="D16" s="116"/>
      <c r="E16" s="116"/>
      <c r="F16" s="116"/>
      <c r="G16" s="116"/>
      <c r="H16" s="116"/>
      <c r="I16" s="116"/>
      <c r="J16" s="116"/>
      <c r="K16" s="117"/>
    </row>
    <row r="17" spans="2:11" ht="15" x14ac:dyDescent="0.25">
      <c r="B17" s="105" t="s">
        <v>165</v>
      </c>
      <c r="C17" s="106"/>
      <c r="D17" s="106"/>
      <c r="E17" s="106"/>
      <c r="F17" s="106"/>
      <c r="G17" s="106"/>
      <c r="H17" s="106"/>
      <c r="I17" s="106"/>
      <c r="J17" s="106"/>
      <c r="K17" s="107"/>
    </row>
    <row r="18" spans="2:11" x14ac:dyDescent="0.2">
      <c r="B18" s="44"/>
      <c r="C18" s="45" t="s">
        <v>166</v>
      </c>
      <c r="D18" s="59"/>
      <c r="E18" s="59"/>
      <c r="F18" s="59"/>
      <c r="G18" s="55"/>
      <c r="H18" s="59"/>
      <c r="I18" s="59"/>
      <c r="J18" s="59"/>
      <c r="K18" s="56"/>
    </row>
    <row r="19" spans="2:11" x14ac:dyDescent="0.2">
      <c r="B19" s="41"/>
      <c r="C19" s="42" t="s">
        <v>175</v>
      </c>
      <c r="D19" s="48"/>
      <c r="E19" s="48"/>
      <c r="F19" s="49"/>
      <c r="G19" s="50"/>
      <c r="H19" s="48"/>
      <c r="I19" s="48"/>
      <c r="J19" s="49"/>
      <c r="K19" s="51"/>
    </row>
    <row r="20" spans="2:11" x14ac:dyDescent="0.2">
      <c r="B20" s="44"/>
      <c r="C20" s="45" t="s">
        <v>167</v>
      </c>
      <c r="D20" s="53"/>
      <c r="E20" s="53"/>
      <c r="F20" s="54"/>
      <c r="G20" s="55"/>
      <c r="H20" s="53"/>
      <c r="I20" s="53"/>
      <c r="J20" s="54"/>
      <c r="K20" s="56"/>
    </row>
    <row r="21" spans="2:11" x14ac:dyDescent="0.2">
      <c r="B21" s="41"/>
      <c r="C21" s="42" t="s">
        <v>107</v>
      </c>
      <c r="D21" s="48"/>
      <c r="E21" s="48"/>
      <c r="F21" s="49"/>
      <c r="G21" s="50"/>
      <c r="H21" s="48"/>
      <c r="I21" s="48"/>
      <c r="J21" s="49"/>
      <c r="K21" s="51"/>
    </row>
    <row r="22" spans="2:11" x14ac:dyDescent="0.2">
      <c r="B22" s="44"/>
      <c r="C22" s="45" t="s">
        <v>120</v>
      </c>
      <c r="D22" s="53"/>
      <c r="E22" s="53"/>
      <c r="F22" s="54"/>
      <c r="G22" s="55"/>
      <c r="H22" s="53"/>
      <c r="I22" s="53"/>
      <c r="J22" s="54"/>
      <c r="K22" s="56"/>
    </row>
    <row r="23" spans="2:11" x14ac:dyDescent="0.2">
      <c r="B23" s="41"/>
      <c r="C23" s="42" t="s">
        <v>173</v>
      </c>
      <c r="D23" s="60"/>
      <c r="E23" s="60"/>
      <c r="F23" s="52"/>
      <c r="G23" s="50"/>
      <c r="H23" s="60"/>
      <c r="I23" s="60"/>
      <c r="J23" s="52"/>
      <c r="K23" s="51"/>
    </row>
    <row r="24" spans="2:11" x14ac:dyDescent="0.2">
      <c r="B24" s="44"/>
      <c r="C24" s="45" t="s">
        <v>176</v>
      </c>
      <c r="D24" s="57"/>
      <c r="E24" s="57"/>
      <c r="F24" s="59"/>
      <c r="G24" s="55"/>
      <c r="H24" s="57"/>
      <c r="I24" s="57"/>
      <c r="J24" s="58"/>
      <c r="K24" s="56"/>
    </row>
    <row r="25" spans="2:11" x14ac:dyDescent="0.2">
      <c r="B25" s="108"/>
      <c r="C25" s="109"/>
      <c r="D25" s="109"/>
      <c r="E25" s="109"/>
      <c r="F25" s="109"/>
      <c r="G25" s="109"/>
      <c r="H25" s="109"/>
      <c r="I25" s="109"/>
      <c r="J25" s="109"/>
      <c r="K25" s="110"/>
    </row>
    <row r="26" spans="2:11" ht="15.75" thickBot="1" x14ac:dyDescent="0.3">
      <c r="B26" s="94" t="s">
        <v>28</v>
      </c>
      <c r="C26" s="91"/>
      <c r="D26" s="92"/>
      <c r="E26" s="92"/>
      <c r="F26" s="92"/>
      <c r="G26" s="93"/>
      <c r="H26" s="92"/>
      <c r="I26" s="92"/>
      <c r="J26" s="92"/>
      <c r="K26" s="95"/>
    </row>
    <row r="27" spans="2:11" ht="15" thickBot="1" x14ac:dyDescent="0.25">
      <c r="B27" s="111"/>
      <c r="C27" s="111"/>
      <c r="D27" s="111"/>
      <c r="E27" s="111"/>
      <c r="F27" s="111"/>
      <c r="G27" s="111"/>
      <c r="H27" s="111"/>
      <c r="I27" s="111"/>
      <c r="J27" s="111"/>
      <c r="K27" s="111"/>
    </row>
    <row r="28" spans="2:11" ht="15" x14ac:dyDescent="0.25">
      <c r="B28" s="105" t="s">
        <v>162</v>
      </c>
      <c r="C28" s="106"/>
      <c r="D28" s="106"/>
      <c r="E28" s="106"/>
      <c r="F28" s="106"/>
      <c r="G28" s="106"/>
      <c r="H28" s="106"/>
      <c r="I28" s="106"/>
      <c r="J28" s="106"/>
      <c r="K28" s="107"/>
    </row>
    <row r="29" spans="2:11" ht="15" x14ac:dyDescent="0.25">
      <c r="B29" s="78"/>
      <c r="C29" s="90" t="s">
        <v>186</v>
      </c>
      <c r="D29" s="59"/>
      <c r="E29" s="53"/>
      <c r="F29" s="59"/>
      <c r="G29" s="55"/>
      <c r="H29" s="79"/>
      <c r="I29" s="79"/>
      <c r="J29" s="79"/>
      <c r="K29" s="80"/>
    </row>
    <row r="30" spans="2:11" ht="15" x14ac:dyDescent="0.25">
      <c r="B30" s="75"/>
      <c r="C30" s="89" t="s">
        <v>188</v>
      </c>
      <c r="D30" s="52"/>
      <c r="E30" s="48"/>
      <c r="F30" s="52"/>
      <c r="G30" s="50"/>
      <c r="H30" s="76"/>
      <c r="I30" s="76"/>
      <c r="J30" s="76"/>
      <c r="K30" s="77"/>
    </row>
    <row r="31" spans="2:11" x14ac:dyDescent="0.2">
      <c r="B31" s="44"/>
      <c r="C31" s="45" t="s">
        <v>163</v>
      </c>
      <c r="D31" s="59"/>
      <c r="E31" s="53"/>
      <c r="F31" s="59"/>
      <c r="G31" s="55"/>
      <c r="H31" s="45"/>
      <c r="I31" s="45"/>
      <c r="J31" s="45"/>
      <c r="K31" s="46"/>
    </row>
    <row r="32" spans="2:11" ht="15" thickBot="1" x14ac:dyDescent="0.25">
      <c r="B32" s="61"/>
      <c r="C32" s="62" t="s">
        <v>164</v>
      </c>
      <c r="D32" s="63"/>
      <c r="E32" s="63"/>
      <c r="F32" s="63"/>
      <c r="G32" s="64"/>
      <c r="H32" s="62"/>
      <c r="I32" s="62"/>
      <c r="J32" s="62"/>
      <c r="K32" s="65"/>
    </row>
    <row r="33" spans="1:10" ht="15" thickBot="1" x14ac:dyDescent="0.25"/>
    <row r="34" spans="1:10" ht="15.75" thickBot="1" x14ac:dyDescent="0.3">
      <c r="A34" s="84"/>
      <c r="B34" s="69" t="s">
        <v>177</v>
      </c>
      <c r="C34" s="66"/>
      <c r="D34" s="67" t="s">
        <v>187</v>
      </c>
      <c r="E34" s="68" t="s">
        <v>201</v>
      </c>
      <c r="G34" s="112" t="s">
        <v>198</v>
      </c>
      <c r="H34" s="113"/>
      <c r="I34" s="113"/>
      <c r="J34" s="114"/>
    </row>
    <row r="35" spans="1:10" ht="15" x14ac:dyDescent="0.25">
      <c r="B35" s="70" t="s">
        <v>169</v>
      </c>
      <c r="C35" s="42"/>
      <c r="D35" s="42"/>
      <c r="E35" s="43"/>
    </row>
    <row r="36" spans="1:10" x14ac:dyDescent="0.2">
      <c r="B36" s="44"/>
      <c r="C36" s="45" t="s">
        <v>182</v>
      </c>
      <c r="D36" s="54"/>
      <c r="E36" s="71">
        <v>6250</v>
      </c>
    </row>
    <row r="37" spans="1:10" x14ac:dyDescent="0.2">
      <c r="B37" s="41"/>
      <c r="C37" s="42"/>
      <c r="D37" s="42"/>
      <c r="E37" s="43"/>
    </row>
    <row r="38" spans="1:10" ht="15" x14ac:dyDescent="0.25">
      <c r="B38" s="47" t="s">
        <v>161</v>
      </c>
      <c r="C38" s="45"/>
      <c r="D38" s="45"/>
      <c r="E38" s="46"/>
    </row>
    <row r="39" spans="1:10" x14ac:dyDescent="0.2">
      <c r="B39" s="41"/>
      <c r="C39" s="42" t="s">
        <v>178</v>
      </c>
      <c r="D39" s="52"/>
      <c r="E39" s="72">
        <v>760000</v>
      </c>
    </row>
    <row r="40" spans="1:10" x14ac:dyDescent="0.2">
      <c r="B40" s="44"/>
      <c r="C40" s="45"/>
      <c r="D40" s="45"/>
      <c r="E40" s="46"/>
    </row>
    <row r="41" spans="1:10" ht="15" x14ac:dyDescent="0.25">
      <c r="B41" s="70" t="s">
        <v>179</v>
      </c>
      <c r="C41" s="42"/>
      <c r="D41" s="42"/>
      <c r="E41" s="43"/>
    </row>
    <row r="42" spans="1:10" x14ac:dyDescent="0.2">
      <c r="B42" s="44"/>
      <c r="C42" s="45" t="s">
        <v>180</v>
      </c>
      <c r="D42" s="59"/>
      <c r="E42" s="73">
        <v>465000</v>
      </c>
    </row>
    <row r="43" spans="1:10" ht="15" thickBot="1" x14ac:dyDescent="0.25">
      <c r="B43" s="61"/>
      <c r="C43" s="62" t="s">
        <v>181</v>
      </c>
      <c r="D43" s="64"/>
      <c r="E43" s="74">
        <v>0.58589999999999998</v>
      </c>
    </row>
  </sheetData>
  <mergeCells count="11">
    <mergeCell ref="B16:K16"/>
    <mergeCell ref="B1:K1"/>
    <mergeCell ref="B2:K2"/>
    <mergeCell ref="B5:K5"/>
    <mergeCell ref="B7:K7"/>
    <mergeCell ref="B8:K8"/>
    <mergeCell ref="B17:K17"/>
    <mergeCell ref="B25:K25"/>
    <mergeCell ref="B27:K27"/>
    <mergeCell ref="B28:K28"/>
    <mergeCell ref="G34:J34"/>
  </mergeCells>
  <pageMargins left="0.7" right="0.7" top="0.75" bottom="0.75" header="0.3" footer="0.3"/>
  <pageSetup scale="73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A3:B14"/>
  <sheetViews>
    <sheetView zoomScale="150" zoomScaleNormal="150" workbookViewId="0">
      <selection activeCell="B3" sqref="B3:B14"/>
    </sheetView>
  </sheetViews>
  <sheetFormatPr defaultRowHeight="14.25" x14ac:dyDescent="0.2"/>
  <cols>
    <col min="2" max="2" width="9.875" bestFit="1" customWidth="1"/>
  </cols>
  <sheetData>
    <row r="3" spans="1:2" x14ac:dyDescent="0.2">
      <c r="A3" s="40">
        <v>1</v>
      </c>
      <c r="B3" s="35">
        <v>42766</v>
      </c>
    </row>
    <row r="4" spans="1:2" x14ac:dyDescent="0.2">
      <c r="A4" s="40">
        <v>2</v>
      </c>
      <c r="B4" s="35">
        <v>42794</v>
      </c>
    </row>
    <row r="5" spans="1:2" x14ac:dyDescent="0.2">
      <c r="A5" s="40">
        <v>3</v>
      </c>
      <c r="B5" s="35">
        <v>42825</v>
      </c>
    </row>
    <row r="6" spans="1:2" x14ac:dyDescent="0.2">
      <c r="A6" s="40">
        <v>4</v>
      </c>
      <c r="B6" s="35">
        <v>42855</v>
      </c>
    </row>
    <row r="7" spans="1:2" x14ac:dyDescent="0.2">
      <c r="A7" s="40">
        <v>5</v>
      </c>
      <c r="B7" s="35">
        <v>42886</v>
      </c>
    </row>
    <row r="8" spans="1:2" x14ac:dyDescent="0.2">
      <c r="A8" s="40">
        <v>6</v>
      </c>
      <c r="B8" s="35">
        <v>42916</v>
      </c>
    </row>
    <row r="9" spans="1:2" x14ac:dyDescent="0.2">
      <c r="A9" s="40">
        <v>7</v>
      </c>
      <c r="B9" s="35">
        <v>42947</v>
      </c>
    </row>
    <row r="10" spans="1:2" x14ac:dyDescent="0.2">
      <c r="A10" s="40">
        <v>8</v>
      </c>
      <c r="B10" s="35">
        <v>42978</v>
      </c>
    </row>
    <row r="11" spans="1:2" x14ac:dyDescent="0.2">
      <c r="A11" s="40">
        <v>9</v>
      </c>
      <c r="B11" s="35">
        <v>43008</v>
      </c>
    </row>
    <row r="12" spans="1:2" x14ac:dyDescent="0.2">
      <c r="A12" s="40">
        <v>10</v>
      </c>
      <c r="B12" s="35">
        <v>43039</v>
      </c>
    </row>
    <row r="13" spans="1:2" x14ac:dyDescent="0.2">
      <c r="A13" s="40">
        <v>11</v>
      </c>
      <c r="B13" s="35">
        <v>43069</v>
      </c>
    </row>
    <row r="14" spans="1:2" x14ac:dyDescent="0.2">
      <c r="A14" s="40">
        <v>12</v>
      </c>
      <c r="B14" s="35">
        <v>43100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pageSetUpPr fitToPage="1"/>
  </sheetPr>
  <dimension ref="A1:K43"/>
  <sheetViews>
    <sheetView zoomScale="80" zoomScaleNormal="80" workbookViewId="0">
      <pane xSplit="1" ySplit="4" topLeftCell="B17" activePane="bottomRight" state="frozen"/>
      <selection pane="topRight" activeCell="B1" sqref="B1"/>
      <selection pane="bottomLeft" activeCell="A5" sqref="A5"/>
      <selection pane="bottomRight" activeCell="E35" sqref="E35"/>
    </sheetView>
  </sheetViews>
  <sheetFormatPr defaultRowHeight="14.25" x14ac:dyDescent="0.2"/>
  <cols>
    <col min="1" max="1" width="2.625" style="82" customWidth="1"/>
    <col min="2" max="2" width="3.875" style="82" customWidth="1"/>
    <col min="3" max="3" width="30.125" style="82" bestFit="1" customWidth="1"/>
    <col min="4" max="5" width="18.375" style="82" bestFit="1" customWidth="1"/>
    <col min="6" max="6" width="11.125" style="82" bestFit="1" customWidth="1"/>
    <col min="7" max="7" width="10" style="82" bestFit="1" customWidth="1"/>
    <col min="8" max="9" width="11.125" style="82" bestFit="1" customWidth="1"/>
    <col min="10" max="10" width="11.75" style="82" bestFit="1" customWidth="1"/>
    <col min="11" max="11" width="8" style="82" bestFit="1" customWidth="1"/>
    <col min="12" max="16384" width="9" style="82"/>
  </cols>
  <sheetData>
    <row r="1" spans="1:11" ht="15" x14ac:dyDescent="0.25">
      <c r="A1" s="84">
        <v>9</v>
      </c>
      <c r="B1" s="118" t="s">
        <v>187</v>
      </c>
      <c r="C1" s="119"/>
      <c r="D1" s="119"/>
      <c r="E1" s="119"/>
      <c r="F1" s="119"/>
      <c r="G1" s="119"/>
      <c r="H1" s="119"/>
      <c r="I1" s="119"/>
      <c r="J1" s="119"/>
      <c r="K1" s="120"/>
    </row>
    <row r="2" spans="1:11" ht="15" x14ac:dyDescent="0.25">
      <c r="B2" s="121">
        <f>VLOOKUP(A1,Key!A3:B14,2,FALSE)</f>
        <v>43008</v>
      </c>
      <c r="C2" s="122"/>
      <c r="D2" s="122"/>
      <c r="E2" s="122"/>
      <c r="F2" s="122"/>
      <c r="G2" s="122"/>
      <c r="H2" s="122"/>
      <c r="I2" s="122"/>
      <c r="J2" s="122"/>
      <c r="K2" s="123"/>
    </row>
    <row r="3" spans="1:11" x14ac:dyDescent="0.2">
      <c r="B3" s="44"/>
      <c r="C3" s="45"/>
      <c r="D3" s="45"/>
      <c r="E3" s="45"/>
      <c r="F3" s="45"/>
      <c r="G3" s="45"/>
      <c r="H3" s="45"/>
      <c r="I3" s="45"/>
      <c r="J3" s="45"/>
      <c r="K3" s="46"/>
    </row>
    <row r="4" spans="1:11" ht="15" x14ac:dyDescent="0.25">
      <c r="B4" s="70"/>
      <c r="C4" s="97"/>
      <c r="D4" s="98">
        <f>B2</f>
        <v>43008</v>
      </c>
      <c r="E4" s="98">
        <f>D4-365</f>
        <v>42643</v>
      </c>
      <c r="F4" s="97" t="s">
        <v>171</v>
      </c>
      <c r="G4" s="97" t="s">
        <v>170</v>
      </c>
      <c r="H4" s="97" t="s">
        <v>199</v>
      </c>
      <c r="I4" s="97" t="s">
        <v>200</v>
      </c>
      <c r="J4" s="97" t="s">
        <v>171</v>
      </c>
      <c r="K4" s="99" t="s">
        <v>170</v>
      </c>
    </row>
    <row r="5" spans="1:11" ht="15" x14ac:dyDescent="0.25">
      <c r="B5" s="124" t="s">
        <v>169</v>
      </c>
      <c r="C5" s="125"/>
      <c r="D5" s="125"/>
      <c r="E5" s="125"/>
      <c r="F5" s="125"/>
      <c r="G5" s="125"/>
      <c r="H5" s="125"/>
      <c r="I5" s="125"/>
      <c r="J5" s="125"/>
      <c r="K5" s="126"/>
    </row>
    <row r="6" spans="1:11" ht="15" thickBot="1" x14ac:dyDescent="0.25">
      <c r="B6" s="41"/>
      <c r="C6" s="42" t="s">
        <v>183</v>
      </c>
      <c r="D6" s="48"/>
      <c r="E6" s="48"/>
      <c r="F6" s="49"/>
      <c r="G6" s="50"/>
      <c r="H6" s="48"/>
      <c r="I6" s="48"/>
      <c r="J6" s="49"/>
      <c r="K6" s="51"/>
    </row>
    <row r="7" spans="1:11" ht="15" thickBot="1" x14ac:dyDescent="0.25">
      <c r="B7" s="111"/>
      <c r="C7" s="111"/>
      <c r="D7" s="111"/>
      <c r="E7" s="111"/>
      <c r="F7" s="111"/>
      <c r="G7" s="111"/>
      <c r="H7" s="111"/>
      <c r="I7" s="111"/>
      <c r="J7" s="111"/>
      <c r="K7" s="111"/>
    </row>
    <row r="8" spans="1:11" ht="15" x14ac:dyDescent="0.25">
      <c r="B8" s="124" t="s">
        <v>161</v>
      </c>
      <c r="C8" s="125"/>
      <c r="D8" s="125"/>
      <c r="E8" s="125"/>
      <c r="F8" s="125"/>
      <c r="G8" s="125"/>
      <c r="H8" s="125"/>
      <c r="I8" s="125"/>
      <c r="J8" s="125"/>
      <c r="K8" s="126"/>
    </row>
    <row r="9" spans="1:11" x14ac:dyDescent="0.2">
      <c r="B9" s="41"/>
      <c r="C9" s="42" t="s">
        <v>150</v>
      </c>
      <c r="D9" s="52"/>
      <c r="E9" s="52"/>
      <c r="F9" s="52"/>
      <c r="G9" s="50"/>
      <c r="H9" s="52"/>
      <c r="I9" s="52"/>
      <c r="J9" s="52"/>
      <c r="K9" s="51"/>
    </row>
    <row r="10" spans="1:11" x14ac:dyDescent="0.2">
      <c r="B10" s="44"/>
      <c r="C10" s="45" t="s">
        <v>168</v>
      </c>
      <c r="D10" s="53"/>
      <c r="E10" s="53"/>
      <c r="F10" s="54"/>
      <c r="G10" s="55"/>
      <c r="H10" s="53"/>
      <c r="I10" s="53"/>
      <c r="J10" s="54"/>
      <c r="K10" s="56"/>
    </row>
    <row r="11" spans="1:11" x14ac:dyDescent="0.2">
      <c r="B11" s="41"/>
      <c r="C11" s="42" t="s">
        <v>172</v>
      </c>
      <c r="D11" s="48"/>
      <c r="E11" s="48"/>
      <c r="F11" s="49"/>
      <c r="G11" s="50"/>
      <c r="H11" s="48"/>
      <c r="I11" s="48"/>
      <c r="J11" s="49"/>
      <c r="K11" s="51"/>
    </row>
    <row r="12" spans="1:11" x14ac:dyDescent="0.2">
      <c r="B12" s="44"/>
      <c r="C12" s="45" t="s">
        <v>184</v>
      </c>
      <c r="D12" s="85"/>
      <c r="E12" s="85"/>
      <c r="F12" s="85"/>
      <c r="G12" s="55"/>
      <c r="H12" s="85"/>
      <c r="I12" s="85"/>
      <c r="J12" s="85"/>
      <c r="K12" s="56"/>
    </row>
    <row r="13" spans="1:11" x14ac:dyDescent="0.2">
      <c r="B13" s="41"/>
      <c r="C13" s="42" t="s">
        <v>174</v>
      </c>
      <c r="D13" s="48"/>
      <c r="E13" s="48"/>
      <c r="F13" s="49"/>
      <c r="G13" s="50"/>
      <c r="H13" s="48"/>
      <c r="I13" s="48"/>
      <c r="J13" s="49"/>
      <c r="K13" s="51"/>
    </row>
    <row r="14" spans="1:11" x14ac:dyDescent="0.2">
      <c r="B14" s="44"/>
      <c r="C14" s="45" t="s">
        <v>185</v>
      </c>
      <c r="D14" s="86"/>
      <c r="E14" s="86"/>
      <c r="F14" s="55"/>
      <c r="G14" s="55"/>
      <c r="H14" s="86"/>
      <c r="I14" s="86"/>
      <c r="J14" s="55"/>
      <c r="K14" s="56"/>
    </row>
    <row r="15" spans="1:11" x14ac:dyDescent="0.2">
      <c r="B15" s="41"/>
      <c r="C15" s="42" t="s">
        <v>192</v>
      </c>
      <c r="D15" s="87"/>
      <c r="E15" s="87"/>
      <c r="F15" s="88"/>
      <c r="G15" s="50"/>
      <c r="H15" s="87"/>
      <c r="I15" s="87"/>
      <c r="J15" s="88"/>
      <c r="K15" s="51"/>
    </row>
    <row r="16" spans="1:11" x14ac:dyDescent="0.2">
      <c r="B16" s="115"/>
      <c r="C16" s="116"/>
      <c r="D16" s="116"/>
      <c r="E16" s="116"/>
      <c r="F16" s="116"/>
      <c r="G16" s="116"/>
      <c r="H16" s="116"/>
      <c r="I16" s="116"/>
      <c r="J16" s="116"/>
      <c r="K16" s="117"/>
    </row>
    <row r="17" spans="2:11" ht="15" x14ac:dyDescent="0.25">
      <c r="B17" s="105" t="s">
        <v>165</v>
      </c>
      <c r="C17" s="106"/>
      <c r="D17" s="106"/>
      <c r="E17" s="106"/>
      <c r="F17" s="106"/>
      <c r="G17" s="106"/>
      <c r="H17" s="106"/>
      <c r="I17" s="106"/>
      <c r="J17" s="106"/>
      <c r="K17" s="107"/>
    </row>
    <row r="18" spans="2:11" x14ac:dyDescent="0.2">
      <c r="B18" s="44"/>
      <c r="C18" s="45" t="s">
        <v>166</v>
      </c>
      <c r="D18" s="59"/>
      <c r="E18" s="59"/>
      <c r="F18" s="59"/>
      <c r="G18" s="55"/>
      <c r="H18" s="59"/>
      <c r="I18" s="59"/>
      <c r="J18" s="59"/>
      <c r="K18" s="56"/>
    </row>
    <row r="19" spans="2:11" x14ac:dyDescent="0.2">
      <c r="B19" s="41"/>
      <c r="C19" s="42" t="s">
        <v>175</v>
      </c>
      <c r="D19" s="48"/>
      <c r="E19" s="48"/>
      <c r="F19" s="49"/>
      <c r="G19" s="50"/>
      <c r="H19" s="48"/>
      <c r="I19" s="48"/>
      <c r="J19" s="49"/>
      <c r="K19" s="51"/>
    </row>
    <row r="20" spans="2:11" x14ac:dyDescent="0.2">
      <c r="B20" s="44"/>
      <c r="C20" s="45" t="s">
        <v>167</v>
      </c>
      <c r="D20" s="53"/>
      <c r="E20" s="53"/>
      <c r="F20" s="54"/>
      <c r="G20" s="55"/>
      <c r="H20" s="53"/>
      <c r="I20" s="53"/>
      <c r="J20" s="54"/>
      <c r="K20" s="56"/>
    </row>
    <row r="21" spans="2:11" x14ac:dyDescent="0.2">
      <c r="B21" s="41"/>
      <c r="C21" s="42" t="s">
        <v>107</v>
      </c>
      <c r="D21" s="48"/>
      <c r="E21" s="48"/>
      <c r="F21" s="49"/>
      <c r="G21" s="50"/>
      <c r="H21" s="48"/>
      <c r="I21" s="48"/>
      <c r="J21" s="49"/>
      <c r="K21" s="51"/>
    </row>
    <row r="22" spans="2:11" x14ac:dyDescent="0.2">
      <c r="B22" s="44"/>
      <c r="C22" s="45" t="s">
        <v>120</v>
      </c>
      <c r="D22" s="53"/>
      <c r="E22" s="53"/>
      <c r="F22" s="54"/>
      <c r="G22" s="55"/>
      <c r="H22" s="53"/>
      <c r="I22" s="53"/>
      <c r="J22" s="54"/>
      <c r="K22" s="56"/>
    </row>
    <row r="23" spans="2:11" x14ac:dyDescent="0.2">
      <c r="B23" s="41"/>
      <c r="C23" s="42" t="s">
        <v>173</v>
      </c>
      <c r="D23" s="60"/>
      <c r="E23" s="60"/>
      <c r="F23" s="52"/>
      <c r="G23" s="50"/>
      <c r="H23" s="60"/>
      <c r="I23" s="60"/>
      <c r="J23" s="52"/>
      <c r="K23" s="51"/>
    </row>
    <row r="24" spans="2:11" x14ac:dyDescent="0.2">
      <c r="B24" s="44"/>
      <c r="C24" s="45" t="s">
        <v>176</v>
      </c>
      <c r="D24" s="57"/>
      <c r="E24" s="57"/>
      <c r="F24" s="59"/>
      <c r="G24" s="55"/>
      <c r="H24" s="57"/>
      <c r="I24" s="57"/>
      <c r="J24" s="58"/>
      <c r="K24" s="56"/>
    </row>
    <row r="25" spans="2:11" x14ac:dyDescent="0.2">
      <c r="B25" s="108"/>
      <c r="C25" s="109"/>
      <c r="D25" s="109"/>
      <c r="E25" s="109"/>
      <c r="F25" s="109"/>
      <c r="G25" s="109"/>
      <c r="H25" s="109"/>
      <c r="I25" s="109"/>
      <c r="J25" s="109"/>
      <c r="K25" s="110"/>
    </row>
    <row r="26" spans="2:11" ht="15.75" thickBot="1" x14ac:dyDescent="0.3">
      <c r="B26" s="94" t="s">
        <v>28</v>
      </c>
      <c r="C26" s="91"/>
      <c r="D26" s="92"/>
      <c r="E26" s="92"/>
      <c r="F26" s="92"/>
      <c r="G26" s="93"/>
      <c r="H26" s="92"/>
      <c r="I26" s="92"/>
      <c r="J26" s="92"/>
      <c r="K26" s="95"/>
    </row>
    <row r="27" spans="2:11" ht="15" thickBot="1" x14ac:dyDescent="0.25">
      <c r="B27" s="111"/>
      <c r="C27" s="111"/>
      <c r="D27" s="111"/>
      <c r="E27" s="111"/>
      <c r="F27" s="111"/>
      <c r="G27" s="111"/>
      <c r="H27" s="111"/>
      <c r="I27" s="111"/>
      <c r="J27" s="111"/>
      <c r="K27" s="111"/>
    </row>
    <row r="28" spans="2:11" ht="15" x14ac:dyDescent="0.25">
      <c r="B28" s="105" t="s">
        <v>162</v>
      </c>
      <c r="C28" s="106"/>
      <c r="D28" s="106"/>
      <c r="E28" s="106"/>
      <c r="F28" s="106"/>
      <c r="G28" s="106"/>
      <c r="H28" s="106"/>
      <c r="I28" s="106"/>
      <c r="J28" s="106"/>
      <c r="K28" s="107"/>
    </row>
    <row r="29" spans="2:11" ht="15" x14ac:dyDescent="0.25">
      <c r="B29" s="78"/>
      <c r="C29" s="90" t="s">
        <v>186</v>
      </c>
      <c r="D29" s="59"/>
      <c r="E29" s="53"/>
      <c r="F29" s="59"/>
      <c r="G29" s="55"/>
      <c r="H29" s="79"/>
      <c r="I29" s="79"/>
      <c r="J29" s="79"/>
      <c r="K29" s="80"/>
    </row>
    <row r="30" spans="2:11" ht="15" x14ac:dyDescent="0.25">
      <c r="B30" s="75"/>
      <c r="C30" s="89" t="s">
        <v>188</v>
      </c>
      <c r="D30" s="52"/>
      <c r="E30" s="48"/>
      <c r="F30" s="52"/>
      <c r="G30" s="50"/>
      <c r="H30" s="76"/>
      <c r="I30" s="76"/>
      <c r="J30" s="76"/>
      <c r="K30" s="77"/>
    </row>
    <row r="31" spans="2:11" x14ac:dyDescent="0.2">
      <c r="B31" s="44"/>
      <c r="C31" s="45" t="s">
        <v>163</v>
      </c>
      <c r="D31" s="59"/>
      <c r="E31" s="53"/>
      <c r="F31" s="59"/>
      <c r="G31" s="55"/>
      <c r="H31" s="45"/>
      <c r="I31" s="45"/>
      <c r="J31" s="45"/>
      <c r="K31" s="46"/>
    </row>
    <row r="32" spans="2:11" ht="15" thickBot="1" x14ac:dyDescent="0.25">
      <c r="B32" s="61"/>
      <c r="C32" s="62" t="s">
        <v>164</v>
      </c>
      <c r="D32" s="63"/>
      <c r="E32" s="63"/>
      <c r="F32" s="63"/>
      <c r="G32" s="64"/>
      <c r="H32" s="62"/>
      <c r="I32" s="62"/>
      <c r="J32" s="62"/>
      <c r="K32" s="65"/>
    </row>
    <row r="33" spans="1:10" ht="15" thickBot="1" x14ac:dyDescent="0.25"/>
    <row r="34" spans="1:10" ht="15.75" thickBot="1" x14ac:dyDescent="0.3">
      <c r="A34" s="84">
        <v>8.25</v>
      </c>
      <c r="B34" s="69" t="s">
        <v>177</v>
      </c>
      <c r="C34" s="66"/>
      <c r="D34" s="67" t="s">
        <v>187</v>
      </c>
      <c r="E34" s="68" t="s">
        <v>201</v>
      </c>
      <c r="G34" s="112" t="s">
        <v>198</v>
      </c>
      <c r="H34" s="113"/>
      <c r="I34" s="113"/>
      <c r="J34" s="114"/>
    </row>
    <row r="35" spans="1:10" ht="15" x14ac:dyDescent="0.25">
      <c r="B35" s="70" t="s">
        <v>169</v>
      </c>
      <c r="C35" s="42"/>
      <c r="D35" s="42"/>
      <c r="E35" s="43"/>
    </row>
    <row r="36" spans="1:10" x14ac:dyDescent="0.2">
      <c r="B36" s="44"/>
      <c r="C36" s="45" t="s">
        <v>182</v>
      </c>
      <c r="D36" s="54"/>
      <c r="E36" s="71">
        <v>6250</v>
      </c>
    </row>
    <row r="37" spans="1:10" x14ac:dyDescent="0.2">
      <c r="B37" s="41"/>
      <c r="C37" s="42"/>
      <c r="D37" s="42"/>
      <c r="E37" s="43"/>
    </row>
    <row r="38" spans="1:10" ht="15" x14ac:dyDescent="0.25">
      <c r="B38" s="47" t="s">
        <v>161</v>
      </c>
      <c r="C38" s="45"/>
      <c r="D38" s="45"/>
      <c r="E38" s="46"/>
    </row>
    <row r="39" spans="1:10" x14ac:dyDescent="0.2">
      <c r="B39" s="41"/>
      <c r="C39" s="42" t="s">
        <v>178</v>
      </c>
      <c r="D39" s="52"/>
      <c r="E39" s="72">
        <v>760000</v>
      </c>
    </row>
    <row r="40" spans="1:10" x14ac:dyDescent="0.2">
      <c r="B40" s="44"/>
      <c r="C40" s="45"/>
      <c r="D40" s="45"/>
      <c r="E40" s="46"/>
    </row>
    <row r="41" spans="1:10" ht="15" x14ac:dyDescent="0.25">
      <c r="B41" s="70" t="s">
        <v>179</v>
      </c>
      <c r="C41" s="42"/>
      <c r="D41" s="42"/>
      <c r="E41" s="43"/>
    </row>
    <row r="42" spans="1:10" x14ac:dyDescent="0.2">
      <c r="B42" s="44"/>
      <c r="C42" s="45" t="s">
        <v>180</v>
      </c>
      <c r="D42" s="59"/>
      <c r="E42" s="73">
        <v>465000</v>
      </c>
    </row>
    <row r="43" spans="1:10" ht="15" thickBot="1" x14ac:dyDescent="0.25">
      <c r="B43" s="61"/>
      <c r="C43" s="62" t="s">
        <v>181</v>
      </c>
      <c r="D43" s="64"/>
      <c r="E43" s="74">
        <v>0.58589999999999998</v>
      </c>
    </row>
  </sheetData>
  <mergeCells count="11">
    <mergeCell ref="B16:K16"/>
    <mergeCell ref="B1:K1"/>
    <mergeCell ref="B2:K2"/>
    <mergeCell ref="B5:K5"/>
    <mergeCell ref="B7:K7"/>
    <mergeCell ref="B8:K8"/>
    <mergeCell ref="B17:K17"/>
    <mergeCell ref="B25:K25"/>
    <mergeCell ref="B27:K27"/>
    <mergeCell ref="B28:K28"/>
    <mergeCell ref="G34:J34"/>
  </mergeCells>
  <pageMargins left="0.7" right="0.7" top="0.75" bottom="0.75" header="0.3" footer="0.3"/>
  <pageSetup scale="73" orientation="landscape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Drop Down 1">
              <controlPr defaultSize="0" autoLine="0" autoPict="0">
                <anchor moveWithCells="1">
                  <from>
                    <xdr:col>11</xdr:col>
                    <xdr:colOff>180975</xdr:colOff>
                    <xdr:row>0</xdr:row>
                    <xdr:rowOff>123825</xdr:rowOff>
                  </from>
                  <to>
                    <xdr:col>12</xdr:col>
                    <xdr:colOff>28575</xdr:colOff>
                    <xdr:row>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pageSetUpPr fitToPage="1"/>
  </sheetPr>
  <dimension ref="A1:K43"/>
  <sheetViews>
    <sheetView zoomScale="90" zoomScaleNormal="90" workbookViewId="0">
      <pane xSplit="1" ySplit="4" topLeftCell="B23" activePane="bottomRight" state="frozen"/>
      <selection pane="topRight" activeCell="B1" sqref="B1"/>
      <selection pane="bottomLeft" activeCell="A5" sqref="A5"/>
      <selection pane="bottomRight" activeCell="E35" sqref="E35"/>
    </sheetView>
  </sheetViews>
  <sheetFormatPr defaultRowHeight="14.25" x14ac:dyDescent="0.2"/>
  <cols>
    <col min="1" max="1" width="2.625" style="82" customWidth="1"/>
    <col min="2" max="2" width="3.875" style="82" customWidth="1"/>
    <col min="3" max="3" width="30.125" style="82" bestFit="1" customWidth="1"/>
    <col min="4" max="5" width="18.375" style="82" bestFit="1" customWidth="1"/>
    <col min="6" max="6" width="11.125" style="82" bestFit="1" customWidth="1"/>
    <col min="7" max="7" width="10" style="82" bestFit="1" customWidth="1"/>
    <col min="8" max="9" width="11.125" style="82" bestFit="1" customWidth="1"/>
    <col min="10" max="10" width="11.75" style="82" bestFit="1" customWidth="1"/>
    <col min="11" max="11" width="8" style="82" bestFit="1" customWidth="1"/>
    <col min="12" max="16384" width="9" style="82"/>
  </cols>
  <sheetData>
    <row r="1" spans="1:11" ht="15" x14ac:dyDescent="0.25">
      <c r="A1" s="84">
        <v>9</v>
      </c>
      <c r="B1" s="118" t="s">
        <v>187</v>
      </c>
      <c r="C1" s="119"/>
      <c r="D1" s="119"/>
      <c r="E1" s="119"/>
      <c r="F1" s="119"/>
      <c r="G1" s="119"/>
      <c r="H1" s="119"/>
      <c r="I1" s="119"/>
      <c r="J1" s="119"/>
      <c r="K1" s="120"/>
    </row>
    <row r="2" spans="1:11" ht="15" x14ac:dyDescent="0.25">
      <c r="B2" s="121">
        <f>VLOOKUP(A1,Key!A3:B14,2,FALSE)</f>
        <v>43008</v>
      </c>
      <c r="C2" s="122"/>
      <c r="D2" s="122"/>
      <c r="E2" s="122"/>
      <c r="F2" s="122"/>
      <c r="G2" s="122"/>
      <c r="H2" s="122"/>
      <c r="I2" s="122"/>
      <c r="J2" s="122"/>
      <c r="K2" s="123"/>
    </row>
    <row r="3" spans="1:11" x14ac:dyDescent="0.2">
      <c r="B3" s="44"/>
      <c r="C3" s="45"/>
      <c r="D3" s="45"/>
      <c r="E3" s="45"/>
      <c r="F3" s="45"/>
      <c r="G3" s="45"/>
      <c r="H3" s="45"/>
      <c r="I3" s="45"/>
      <c r="J3" s="45"/>
      <c r="K3" s="46"/>
    </row>
    <row r="4" spans="1:11" ht="15" x14ac:dyDescent="0.25">
      <c r="B4" s="70"/>
      <c r="C4" s="97"/>
      <c r="D4" s="98">
        <f>B2</f>
        <v>43008</v>
      </c>
      <c r="E4" s="98">
        <f>D4-365</f>
        <v>42643</v>
      </c>
      <c r="F4" s="97" t="s">
        <v>171</v>
      </c>
      <c r="G4" s="97" t="s">
        <v>170</v>
      </c>
      <c r="H4" s="97" t="s">
        <v>199</v>
      </c>
      <c r="I4" s="97" t="s">
        <v>200</v>
      </c>
      <c r="J4" s="97" t="s">
        <v>171</v>
      </c>
      <c r="K4" s="99" t="s">
        <v>170</v>
      </c>
    </row>
    <row r="5" spans="1:11" ht="15" x14ac:dyDescent="0.25">
      <c r="B5" s="124" t="s">
        <v>169</v>
      </c>
      <c r="C5" s="125"/>
      <c r="D5" s="125"/>
      <c r="E5" s="125"/>
      <c r="F5" s="125"/>
      <c r="G5" s="125"/>
      <c r="H5" s="125"/>
      <c r="I5" s="125"/>
      <c r="J5" s="125"/>
      <c r="K5" s="126"/>
    </row>
    <row r="6" spans="1:11" ht="15" thickBot="1" x14ac:dyDescent="0.25">
      <c r="B6" s="41"/>
      <c r="C6" s="42" t="s">
        <v>183</v>
      </c>
      <c r="D6" s="48">
        <f ca="1">OFFSET(Productivity!$M$4,0,'Financial Summary - 3 Var &amp; Oth'!$A$1,,)</f>
        <v>5536</v>
      </c>
      <c r="E6" s="48">
        <f ca="1">OFFSET(Productivity!A4,0,'Financial Summary - 3 Var &amp; Oth'!$A$1,,)</f>
        <v>5173</v>
      </c>
      <c r="F6" s="49"/>
      <c r="G6" s="50"/>
      <c r="H6" s="48">
        <f>SUMPRODUCT(Productivity!N1:Y1,Productivity!N4:Y4)</f>
        <v>46073</v>
      </c>
      <c r="I6" s="48">
        <f>SUMPRODUCT(Productivity!B1:M1,Productivity!B4:M4)</f>
        <v>46273</v>
      </c>
      <c r="J6" s="49"/>
      <c r="K6" s="51"/>
    </row>
    <row r="7" spans="1:11" ht="15" thickBot="1" x14ac:dyDescent="0.25">
      <c r="B7" s="111"/>
      <c r="C7" s="111"/>
      <c r="D7" s="111"/>
      <c r="E7" s="111"/>
      <c r="F7" s="111"/>
      <c r="G7" s="111"/>
      <c r="H7" s="111"/>
      <c r="I7" s="111"/>
      <c r="J7" s="111"/>
      <c r="K7" s="111"/>
    </row>
    <row r="8" spans="1:11" ht="15" x14ac:dyDescent="0.25">
      <c r="B8" s="124" t="s">
        <v>161</v>
      </c>
      <c r="C8" s="125"/>
      <c r="D8" s="125"/>
      <c r="E8" s="125"/>
      <c r="F8" s="125"/>
      <c r="G8" s="125"/>
      <c r="H8" s="125"/>
      <c r="I8" s="125"/>
      <c r="J8" s="125"/>
      <c r="K8" s="126"/>
    </row>
    <row r="9" spans="1:11" x14ac:dyDescent="0.2">
      <c r="B9" s="41"/>
      <c r="C9" s="42" t="s">
        <v>150</v>
      </c>
      <c r="D9" s="52">
        <f ca="1">OFFSET('M2M P&amp;L'!M10,,'Financial Summary - 3 Var &amp; Oth'!$A$1,,)</f>
        <v>1027087.9300000002</v>
      </c>
      <c r="E9" s="52">
        <f ca="1">OFFSET('M2M P&amp;L'!A10,,'Financial Summary - 3 Var &amp; Oth'!$A$1,,)</f>
        <v>902800.36000000022</v>
      </c>
      <c r="F9" s="52"/>
      <c r="G9" s="50"/>
      <c r="H9" s="52">
        <f>SUMPRODUCT('M2M P&amp;L'!N6:Y6,'M2M P&amp;L'!N10:Y10)</f>
        <v>8498992.4349000026</v>
      </c>
      <c r="I9" s="52">
        <f>SUMPRODUCT('M2M P&amp;L'!B6:M6,'M2M P&amp;L'!B10:M10)</f>
        <v>8243556.3650000012</v>
      </c>
      <c r="J9" s="52"/>
      <c r="K9" s="51"/>
    </row>
    <row r="10" spans="1:11" x14ac:dyDescent="0.2">
      <c r="B10" s="44"/>
      <c r="C10" s="45" t="s">
        <v>168</v>
      </c>
      <c r="D10" s="53">
        <f ca="1">OFFSET(Productivity!M6,,'Financial Summary - 3 Var &amp; Oth'!A1,,)</f>
        <v>703072</v>
      </c>
      <c r="E10" s="53">
        <f ca="1">OFFSET(Productivity!A6,,'Financial Summary - 3 Var &amp; Oth'!A1,,)</f>
        <v>656971</v>
      </c>
      <c r="F10" s="54"/>
      <c r="G10" s="55"/>
      <c r="H10" s="53">
        <f>SUMPRODUCT(Productivity!N1:Y1,Productivity!N6:Y6)</f>
        <v>5851271</v>
      </c>
      <c r="I10" s="53">
        <f>SUMPRODUCT(Productivity!B1:M1,Productivity!B6:M6)</f>
        <v>5876671</v>
      </c>
      <c r="J10" s="54"/>
      <c r="K10" s="56"/>
    </row>
    <row r="11" spans="1:11" x14ac:dyDescent="0.2">
      <c r="B11" s="41"/>
      <c r="C11" s="42" t="s">
        <v>172</v>
      </c>
      <c r="D11" s="48">
        <f ca="1">OFFSET('M2M P&amp;L'!M144,,'Financial Summary - 3 Var &amp; Oth'!A1,,)</f>
        <v>10830.35</v>
      </c>
      <c r="E11" s="48">
        <f ca="1">OFFSET('M2M P&amp;L'!A144,,'Financial Summary - 3 Var &amp; Oth'!A1,,)</f>
        <v>894.06</v>
      </c>
      <c r="F11" s="49"/>
      <c r="G11" s="50"/>
      <c r="H11" s="48">
        <f>SUMPRODUCT('M2M P&amp;L'!N6:Y6,'M2M P&amp;L'!N144:Y144)</f>
        <v>113915.62000000001</v>
      </c>
      <c r="I11" s="48">
        <f>SUMPRODUCT('M2M P&amp;L'!B6:M6,'M2M P&amp;L'!B144:M144)</f>
        <v>43015.049999999996</v>
      </c>
      <c r="J11" s="49"/>
      <c r="K11" s="51"/>
    </row>
    <row r="12" spans="1:11" x14ac:dyDescent="0.2">
      <c r="B12" s="44"/>
      <c r="C12" s="45" t="s">
        <v>184</v>
      </c>
      <c r="D12" s="85"/>
      <c r="E12" s="85"/>
      <c r="F12" s="85"/>
      <c r="G12" s="55"/>
      <c r="H12" s="85"/>
      <c r="I12" s="85"/>
      <c r="J12" s="85"/>
      <c r="K12" s="56"/>
    </row>
    <row r="13" spans="1:11" x14ac:dyDescent="0.2">
      <c r="B13" s="41"/>
      <c r="C13" s="42" t="s">
        <v>174</v>
      </c>
      <c r="D13" s="48">
        <f ca="1">SUM(D10:D11)</f>
        <v>713902.35</v>
      </c>
      <c r="E13" s="48">
        <f ca="1">SUM(E10:E11)</f>
        <v>657865.06000000006</v>
      </c>
      <c r="F13" s="49"/>
      <c r="G13" s="50"/>
      <c r="H13" s="48">
        <f>SUM(H10:H11)</f>
        <v>5965186.6200000001</v>
      </c>
      <c r="I13" s="48">
        <f>SUM(I10:I11)</f>
        <v>5919686.0499999998</v>
      </c>
      <c r="J13" s="49"/>
      <c r="K13" s="51"/>
    </row>
    <row r="14" spans="1:11" x14ac:dyDescent="0.2">
      <c r="B14" s="44"/>
      <c r="C14" s="45" t="s">
        <v>185</v>
      </c>
      <c r="D14" s="86"/>
      <c r="E14" s="86"/>
      <c r="F14" s="55"/>
      <c r="G14" s="55"/>
      <c r="H14" s="86"/>
      <c r="I14" s="86"/>
      <c r="J14" s="55"/>
      <c r="K14" s="56"/>
    </row>
    <row r="15" spans="1:11" x14ac:dyDescent="0.2">
      <c r="B15" s="41"/>
      <c r="C15" s="42" t="s">
        <v>192</v>
      </c>
      <c r="D15" s="87"/>
      <c r="E15" s="87"/>
      <c r="F15" s="88"/>
      <c r="G15" s="50"/>
      <c r="H15" s="87"/>
      <c r="I15" s="87"/>
      <c r="J15" s="88"/>
      <c r="K15" s="51"/>
    </row>
    <row r="16" spans="1:11" x14ac:dyDescent="0.2">
      <c r="B16" s="115"/>
      <c r="C16" s="116"/>
      <c r="D16" s="116"/>
      <c r="E16" s="116"/>
      <c r="F16" s="116"/>
      <c r="G16" s="116"/>
      <c r="H16" s="116"/>
      <c r="I16" s="116"/>
      <c r="J16" s="116"/>
      <c r="K16" s="117"/>
    </row>
    <row r="17" spans="2:11" ht="15" x14ac:dyDescent="0.25">
      <c r="B17" s="105" t="s">
        <v>165</v>
      </c>
      <c r="C17" s="106"/>
      <c r="D17" s="106"/>
      <c r="E17" s="106"/>
      <c r="F17" s="106"/>
      <c r="G17" s="106"/>
      <c r="H17" s="106"/>
      <c r="I17" s="106"/>
      <c r="J17" s="106"/>
      <c r="K17" s="107"/>
    </row>
    <row r="18" spans="2:11" x14ac:dyDescent="0.2">
      <c r="B18" s="44"/>
      <c r="C18" s="45" t="s">
        <v>166</v>
      </c>
      <c r="D18" s="59">
        <f ca="1">OFFSET('M2M P&amp;L'!M42,,'Financial Summary - 3 Var &amp; Oth'!A1,,)</f>
        <v>133099.20000000001</v>
      </c>
      <c r="E18" s="59">
        <f ca="1">OFFSET('M2M P&amp;L'!A42,,'Financial Summary - 3 Var &amp; Oth'!A1,,)</f>
        <v>523168.46</v>
      </c>
      <c r="F18" s="59"/>
      <c r="G18" s="55"/>
      <c r="H18" s="59">
        <f>SUMPRODUCT('M2M P&amp;L'!N6:Y6,'M2M P&amp;L'!N42:Y42)</f>
        <v>1500995.3</v>
      </c>
      <c r="I18" s="59">
        <f>SUMPRODUCT('M2M P&amp;L'!B6:M6,'M2M P&amp;L'!B42:M42)</f>
        <v>1786549.51</v>
      </c>
      <c r="J18" s="59"/>
      <c r="K18" s="56"/>
    </row>
    <row r="19" spans="2:11" x14ac:dyDescent="0.2">
      <c r="B19" s="41"/>
      <c r="C19" s="42" t="s">
        <v>175</v>
      </c>
      <c r="D19" s="48">
        <f ca="1">OFFSET('M2M P&amp;L'!M67,,'Financial Summary - 3 Var &amp; Oth'!A1,,)</f>
        <v>145353.61984999999</v>
      </c>
      <c r="E19" s="48">
        <f ca="1">OFFSET('M2M P&amp;L'!A67,,'Financial Summary - 3 Var &amp; Oth'!A1,,)</f>
        <v>234468.23245000001</v>
      </c>
      <c r="F19" s="49"/>
      <c r="G19" s="50"/>
      <c r="H19" s="48">
        <f>SUMPRODUCT('M2M P&amp;L'!N6:Y6,'M2M P&amp;L'!N67:Y67)</f>
        <v>1520911.3049999999</v>
      </c>
      <c r="I19" s="48">
        <f>SUMPRODUCT('M2M P&amp;L'!B6:M6,'M2M P&amp;L'!B67:M67)</f>
        <v>1502434.0035000001</v>
      </c>
      <c r="J19" s="49"/>
      <c r="K19" s="51"/>
    </row>
    <row r="20" spans="2:11" x14ac:dyDescent="0.2">
      <c r="B20" s="44"/>
      <c r="C20" s="45" t="s">
        <v>167</v>
      </c>
      <c r="D20" s="53">
        <f ca="1">OFFSET('M2M P&amp;L'!M95,,'Financial Summary - 3 Var &amp; Oth'!A1,,)</f>
        <v>202314.47</v>
      </c>
      <c r="E20" s="53">
        <f ca="1">OFFSET('M2M P&amp;L'!A95,,'Financial Summary - 3 Var &amp; Oth'!A1,,)</f>
        <v>164247.48000000001</v>
      </c>
      <c r="F20" s="54"/>
      <c r="G20" s="55"/>
      <c r="H20" s="53">
        <f>SUMPRODUCT('M2M P&amp;L'!N6:Y6,'M2M P&amp;L'!N95:Y95)</f>
        <v>1205942.1100000001</v>
      </c>
      <c r="I20" s="53">
        <f>SUMPRODUCT('M2M P&amp;L'!B6:M6,'M2M P&amp;L'!B95:M95)</f>
        <v>1250189.1399999999</v>
      </c>
      <c r="J20" s="54"/>
      <c r="K20" s="56"/>
    </row>
    <row r="21" spans="2:11" x14ac:dyDescent="0.2">
      <c r="B21" s="41"/>
      <c r="C21" s="42" t="s">
        <v>107</v>
      </c>
      <c r="D21" s="48">
        <f ca="1">OFFSET('M2M P&amp;L'!M112,,'Financial Summary - 3 Var &amp; Oth'!A1,,)</f>
        <v>27912.77</v>
      </c>
      <c r="E21" s="48">
        <f ca="1">OFFSET('M2M P&amp;L'!A112,,'Financial Summary - 3 Var &amp; Oth'!A1,,)</f>
        <v>21926.06</v>
      </c>
      <c r="F21" s="49"/>
      <c r="G21" s="50"/>
      <c r="H21" s="48">
        <f>SUMPRODUCT('M2M P&amp;L'!N6:Y6,'M2M P&amp;L'!N112:Y112)</f>
        <v>167546.72999999998</v>
      </c>
      <c r="I21" s="48">
        <f>SUMPRODUCT('M2M P&amp;L'!B6:M6,'M2M P&amp;L'!B112:M112)</f>
        <v>145803.16999999998</v>
      </c>
      <c r="J21" s="49"/>
      <c r="K21" s="51"/>
    </row>
    <row r="22" spans="2:11" x14ac:dyDescent="0.2">
      <c r="B22" s="44"/>
      <c r="C22" s="45" t="s">
        <v>120</v>
      </c>
      <c r="D22" s="53">
        <f ca="1">OFFSET('M2M P&amp;L'!M137,,'Financial Summary - 3 Var &amp; Oth'!A1,,)</f>
        <v>15442.76</v>
      </c>
      <c r="E22" s="53">
        <f ca="1">OFFSET('M2M P&amp;L'!A137,,'Financial Summary - 3 Var &amp; Oth'!A1,,)</f>
        <v>25545.5</v>
      </c>
      <c r="F22" s="54"/>
      <c r="G22" s="55"/>
      <c r="H22" s="53">
        <f>SUMPRODUCT('M2M P&amp;L'!N6:Y6,'M2M P&amp;L'!N137:Y137)</f>
        <v>210332.11000000002</v>
      </c>
      <c r="I22" s="53">
        <f>SUMPRODUCT('M2M P&amp;L'!B6:M6,'M2M P&amp;L'!B137:M137)</f>
        <v>219062.81</v>
      </c>
      <c r="J22" s="54"/>
      <c r="K22" s="56"/>
    </row>
    <row r="23" spans="2:11" x14ac:dyDescent="0.2">
      <c r="B23" s="41"/>
      <c r="C23" s="42" t="s">
        <v>173</v>
      </c>
      <c r="D23" s="60"/>
      <c r="E23" s="60"/>
      <c r="F23" s="52"/>
      <c r="G23" s="50"/>
      <c r="H23" s="60"/>
      <c r="I23" s="60"/>
      <c r="J23" s="52"/>
      <c r="K23" s="51"/>
    </row>
    <row r="24" spans="2:11" x14ac:dyDescent="0.2">
      <c r="B24" s="44"/>
      <c r="C24" s="45" t="s">
        <v>176</v>
      </c>
      <c r="D24" s="57"/>
      <c r="E24" s="57"/>
      <c r="F24" s="59"/>
      <c r="G24" s="55"/>
      <c r="H24" s="57"/>
      <c r="I24" s="57"/>
      <c r="J24" s="58"/>
      <c r="K24" s="56"/>
    </row>
    <row r="25" spans="2:11" x14ac:dyDescent="0.2">
      <c r="B25" s="108"/>
      <c r="C25" s="109"/>
      <c r="D25" s="109"/>
      <c r="E25" s="109"/>
      <c r="F25" s="109"/>
      <c r="G25" s="109"/>
      <c r="H25" s="109"/>
      <c r="I25" s="109"/>
      <c r="J25" s="109"/>
      <c r="K25" s="110"/>
    </row>
    <row r="26" spans="2:11" ht="15.75" thickBot="1" x14ac:dyDescent="0.3">
      <c r="B26" s="94" t="s">
        <v>28</v>
      </c>
      <c r="C26" s="91"/>
      <c r="D26" s="92"/>
      <c r="E26" s="92"/>
      <c r="F26" s="92"/>
      <c r="G26" s="93"/>
      <c r="H26" s="92"/>
      <c r="I26" s="92"/>
      <c r="J26" s="92"/>
      <c r="K26" s="95"/>
    </row>
    <row r="27" spans="2:11" ht="15" thickBot="1" x14ac:dyDescent="0.25">
      <c r="B27" s="111"/>
      <c r="C27" s="111"/>
      <c r="D27" s="111"/>
      <c r="E27" s="111"/>
      <c r="F27" s="111"/>
      <c r="G27" s="111"/>
      <c r="H27" s="111"/>
      <c r="I27" s="111"/>
      <c r="J27" s="111"/>
      <c r="K27" s="111"/>
    </row>
    <row r="28" spans="2:11" ht="15" x14ac:dyDescent="0.25">
      <c r="B28" s="105" t="s">
        <v>162</v>
      </c>
      <c r="C28" s="106"/>
      <c r="D28" s="106"/>
      <c r="E28" s="106"/>
      <c r="F28" s="106"/>
      <c r="G28" s="106"/>
      <c r="H28" s="106"/>
      <c r="I28" s="106"/>
      <c r="J28" s="106"/>
      <c r="K28" s="107"/>
    </row>
    <row r="29" spans="2:11" ht="15" x14ac:dyDescent="0.25">
      <c r="B29" s="78"/>
      <c r="C29" s="90" t="s">
        <v>186</v>
      </c>
      <c r="D29" s="59">
        <f ca="1">OFFSET('M2M Balance Sheet'!M26,,'Financial Summary - 3 Var &amp; Oth'!$A$1,,)</f>
        <v>108338.04</v>
      </c>
      <c r="E29" s="53">
        <f ca="1">OFFSET('M2M Balance Sheet'!A26,,'Financial Summary - 3 Var &amp; Oth'!$A$1,,)</f>
        <v>13850.25</v>
      </c>
      <c r="F29" s="59"/>
      <c r="G29" s="55"/>
      <c r="H29" s="79"/>
      <c r="I29" s="79"/>
      <c r="J29" s="79"/>
      <c r="K29" s="80"/>
    </row>
    <row r="30" spans="2:11" ht="15" x14ac:dyDescent="0.25">
      <c r="B30" s="75"/>
      <c r="C30" s="89" t="s">
        <v>188</v>
      </c>
      <c r="D30" s="52">
        <f ca="1">OFFSET('M2M Balance Sheet'!M45,,'Financial Summary - 3 Var &amp; Oth'!$A$1,,)</f>
        <v>80263.931000000011</v>
      </c>
      <c r="E30" s="48">
        <f ca="1">OFFSET('M2M Balance Sheet'!A45,,'Financial Summary - 3 Var &amp; Oth'!$A$1,,)</f>
        <v>6089.2480000000005</v>
      </c>
      <c r="F30" s="52"/>
      <c r="G30" s="50"/>
      <c r="H30" s="76"/>
      <c r="I30" s="76"/>
      <c r="J30" s="76"/>
      <c r="K30" s="77"/>
    </row>
    <row r="31" spans="2:11" x14ac:dyDescent="0.2">
      <c r="B31" s="44"/>
      <c r="C31" s="45" t="s">
        <v>163</v>
      </c>
      <c r="D31" s="59">
        <f ca="1">OFFSET('M2M Balance Sheet'!M16,,'Financial Summary - 3 Var &amp; Oth'!$A$1,,)</f>
        <v>558380.12999999896</v>
      </c>
      <c r="E31" s="53">
        <f ca="1">OFFSET('M2M Balance Sheet'!A16,,'Financial Summary - 3 Var &amp; Oth'!$A$1,,)</f>
        <v>487786.679999999</v>
      </c>
      <c r="F31" s="59"/>
      <c r="G31" s="55"/>
      <c r="H31" s="45"/>
      <c r="I31" s="45"/>
      <c r="J31" s="45"/>
      <c r="K31" s="46"/>
    </row>
    <row r="32" spans="2:11" ht="15" thickBot="1" x14ac:dyDescent="0.25">
      <c r="B32" s="61"/>
      <c r="C32" s="62" t="s">
        <v>164</v>
      </c>
      <c r="D32" s="63">
        <f ca="1">OFFSET('M2M Balance Sheet'!M13,,'Financial Summary - 3 Var &amp; Oth'!A1,,)+OFFSET('M2M Balance Sheet'!M14,,'Financial Summary - 3 Var &amp; Oth'!A1,,)</f>
        <v>762575</v>
      </c>
      <c r="E32" s="63">
        <f ca="1">OFFSET('M2M Balance Sheet'!A13,,'Financial Summary - 3 Var &amp; Oth'!A1,,)+OFFSET('M2M Balance Sheet'!A14,,'Financial Summary - 3 Var &amp; Oth'!A1,,)</f>
        <v>465116.98</v>
      </c>
      <c r="F32" s="63"/>
      <c r="G32" s="64"/>
      <c r="H32" s="62"/>
      <c r="I32" s="62"/>
      <c r="J32" s="62"/>
      <c r="K32" s="65"/>
    </row>
    <row r="33" spans="1:10" ht="15" thickBot="1" x14ac:dyDescent="0.25"/>
    <row r="34" spans="1:10" ht="15.75" thickBot="1" x14ac:dyDescent="0.3">
      <c r="A34" s="84">
        <v>8.25</v>
      </c>
      <c r="B34" s="69" t="s">
        <v>177</v>
      </c>
      <c r="C34" s="66"/>
      <c r="D34" s="67" t="s">
        <v>187</v>
      </c>
      <c r="E34" s="68" t="s">
        <v>201</v>
      </c>
      <c r="G34" s="112" t="s">
        <v>198</v>
      </c>
      <c r="H34" s="113"/>
      <c r="I34" s="113"/>
      <c r="J34" s="114"/>
    </row>
    <row r="35" spans="1:10" ht="15" x14ac:dyDescent="0.25">
      <c r="B35" s="70" t="s">
        <v>169</v>
      </c>
      <c r="C35" s="42"/>
      <c r="D35" s="42"/>
      <c r="E35" s="43"/>
    </row>
    <row r="36" spans="1:10" x14ac:dyDescent="0.2">
      <c r="B36" s="44"/>
      <c r="C36" s="45" t="s">
        <v>182</v>
      </c>
      <c r="D36" s="54"/>
      <c r="E36" s="71">
        <v>6250</v>
      </c>
    </row>
    <row r="37" spans="1:10" x14ac:dyDescent="0.2">
      <c r="B37" s="41"/>
      <c r="C37" s="42"/>
      <c r="D37" s="42"/>
      <c r="E37" s="43"/>
    </row>
    <row r="38" spans="1:10" ht="15" x14ac:dyDescent="0.25">
      <c r="B38" s="47" t="s">
        <v>161</v>
      </c>
      <c r="C38" s="45"/>
      <c r="D38" s="45"/>
      <c r="E38" s="46"/>
    </row>
    <row r="39" spans="1:10" x14ac:dyDescent="0.2">
      <c r="B39" s="41"/>
      <c r="C39" s="42" t="s">
        <v>178</v>
      </c>
      <c r="D39" s="52"/>
      <c r="E39" s="72">
        <v>760000</v>
      </c>
    </row>
    <row r="40" spans="1:10" x14ac:dyDescent="0.2">
      <c r="B40" s="44"/>
      <c r="C40" s="45"/>
      <c r="D40" s="45"/>
      <c r="E40" s="46"/>
    </row>
    <row r="41" spans="1:10" ht="15" x14ac:dyDescent="0.25">
      <c r="B41" s="70" t="s">
        <v>179</v>
      </c>
      <c r="C41" s="42"/>
      <c r="D41" s="42"/>
      <c r="E41" s="43"/>
    </row>
    <row r="42" spans="1:10" x14ac:dyDescent="0.2">
      <c r="B42" s="44"/>
      <c r="C42" s="45" t="s">
        <v>180</v>
      </c>
      <c r="D42" s="59"/>
      <c r="E42" s="73">
        <v>465000</v>
      </c>
    </row>
    <row r="43" spans="1:10" ht="15" thickBot="1" x14ac:dyDescent="0.25">
      <c r="B43" s="61"/>
      <c r="C43" s="62" t="s">
        <v>181</v>
      </c>
      <c r="D43" s="64"/>
      <c r="E43" s="74">
        <v>0.58589999999999998</v>
      </c>
    </row>
  </sheetData>
  <mergeCells count="11">
    <mergeCell ref="B16:K16"/>
    <mergeCell ref="B1:K1"/>
    <mergeCell ref="B2:K2"/>
    <mergeCell ref="B5:K5"/>
    <mergeCell ref="B7:K7"/>
    <mergeCell ref="B8:K8"/>
    <mergeCell ref="B17:K17"/>
    <mergeCell ref="B25:K25"/>
    <mergeCell ref="B27:K27"/>
    <mergeCell ref="B28:K28"/>
    <mergeCell ref="G34:J34"/>
  </mergeCells>
  <pageMargins left="0.7" right="0.7" top="0.75" bottom="0.75" header="0.3" footer="0.3"/>
  <pageSetup scale="73" orientation="landscape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Drop Down 1">
              <controlPr defaultSize="0" autoLine="0" autoPict="0">
                <anchor moveWithCells="1">
                  <from>
                    <xdr:col>11</xdr:col>
                    <xdr:colOff>180975</xdr:colOff>
                    <xdr:row>0</xdr:row>
                    <xdr:rowOff>123825</xdr:rowOff>
                  </from>
                  <to>
                    <xdr:col>12</xdr:col>
                    <xdr:colOff>28575</xdr:colOff>
                    <xdr:row>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pageSetUpPr fitToPage="1"/>
  </sheetPr>
  <dimension ref="A1:K43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35" sqref="E35"/>
    </sheetView>
  </sheetViews>
  <sheetFormatPr defaultRowHeight="14.25" x14ac:dyDescent="0.2"/>
  <cols>
    <col min="1" max="1" width="2.625" style="82" customWidth="1"/>
    <col min="2" max="2" width="3.875" style="82" customWidth="1"/>
    <col min="3" max="3" width="30.125" style="82" bestFit="1" customWidth="1"/>
    <col min="4" max="5" width="18.375" style="82" bestFit="1" customWidth="1"/>
    <col min="6" max="6" width="11.125" style="82" bestFit="1" customWidth="1"/>
    <col min="7" max="7" width="10" style="82" bestFit="1" customWidth="1"/>
    <col min="8" max="9" width="11.125" style="82" bestFit="1" customWidth="1"/>
    <col min="10" max="10" width="11.75" style="82" bestFit="1" customWidth="1"/>
    <col min="11" max="11" width="8" style="82" bestFit="1" customWidth="1"/>
    <col min="12" max="16384" width="9" style="82"/>
  </cols>
  <sheetData>
    <row r="1" spans="1:11" ht="15" x14ac:dyDescent="0.25">
      <c r="A1" s="84">
        <v>9</v>
      </c>
      <c r="B1" s="118" t="s">
        <v>187</v>
      </c>
      <c r="C1" s="119"/>
      <c r="D1" s="119"/>
      <c r="E1" s="119"/>
      <c r="F1" s="119"/>
      <c r="G1" s="119"/>
      <c r="H1" s="119"/>
      <c r="I1" s="119"/>
      <c r="J1" s="119"/>
      <c r="K1" s="120"/>
    </row>
    <row r="2" spans="1:11" ht="15" x14ac:dyDescent="0.25">
      <c r="B2" s="121">
        <f>VLOOKUP(A1,Key!A3:B14,2,FALSE)</f>
        <v>43008</v>
      </c>
      <c r="C2" s="122"/>
      <c r="D2" s="122"/>
      <c r="E2" s="122"/>
      <c r="F2" s="122"/>
      <c r="G2" s="122"/>
      <c r="H2" s="122"/>
      <c r="I2" s="122"/>
      <c r="J2" s="122"/>
      <c r="K2" s="123"/>
    </row>
    <row r="3" spans="1:11" x14ac:dyDescent="0.2">
      <c r="B3" s="44"/>
      <c r="C3" s="45"/>
      <c r="D3" s="45"/>
      <c r="E3" s="45"/>
      <c r="F3" s="45"/>
      <c r="G3" s="45"/>
      <c r="H3" s="45"/>
      <c r="I3" s="45"/>
      <c r="J3" s="45"/>
      <c r="K3" s="46"/>
    </row>
    <row r="4" spans="1:11" ht="15" x14ac:dyDescent="0.25">
      <c r="B4" s="70"/>
      <c r="C4" s="97"/>
      <c r="D4" s="98">
        <f>B2</f>
        <v>43008</v>
      </c>
      <c r="E4" s="98">
        <f>D4-365</f>
        <v>42643</v>
      </c>
      <c r="F4" s="97" t="s">
        <v>171</v>
      </c>
      <c r="G4" s="97" t="s">
        <v>170</v>
      </c>
      <c r="H4" s="97" t="s">
        <v>199</v>
      </c>
      <c r="I4" s="97" t="s">
        <v>200</v>
      </c>
      <c r="J4" s="97" t="s">
        <v>171</v>
      </c>
      <c r="K4" s="99" t="s">
        <v>170</v>
      </c>
    </row>
    <row r="5" spans="1:11" ht="15" x14ac:dyDescent="0.25">
      <c r="B5" s="124" t="s">
        <v>169</v>
      </c>
      <c r="C5" s="125"/>
      <c r="D5" s="125"/>
      <c r="E5" s="125"/>
      <c r="F5" s="125"/>
      <c r="G5" s="125"/>
      <c r="H5" s="125"/>
      <c r="I5" s="125"/>
      <c r="J5" s="125"/>
      <c r="K5" s="126"/>
    </row>
    <row r="6" spans="1:11" ht="15" thickBot="1" x14ac:dyDescent="0.25">
      <c r="B6" s="41"/>
      <c r="C6" s="42" t="s">
        <v>183</v>
      </c>
      <c r="D6" s="48">
        <f ca="1">OFFSET(Productivity!$M$4,0,'Financial Summary - 4 Graph'!$A$1,,)</f>
        <v>5536</v>
      </c>
      <c r="E6" s="48">
        <f ca="1">OFFSET(Productivity!A4,0,'Financial Summary - 4 Graph'!$A$1,,)</f>
        <v>5173</v>
      </c>
      <c r="F6" s="49">
        <f ca="1">D6-E6</f>
        <v>363</v>
      </c>
      <c r="G6" s="50">
        <f ca="1">F6/E6</f>
        <v>7.0172047167987625E-2</v>
      </c>
      <c r="H6" s="48">
        <f>SUMPRODUCT(Productivity!N1:Y1,Productivity!N4:Y4)</f>
        <v>46073</v>
      </c>
      <c r="I6" s="48">
        <f>SUMPRODUCT(Productivity!B1:M1,Productivity!B4:M4)</f>
        <v>46273</v>
      </c>
      <c r="J6" s="49">
        <f>H6-I6</f>
        <v>-200</v>
      </c>
      <c r="K6" s="51">
        <f>J6/I6</f>
        <v>-4.3221749184189483E-3</v>
      </c>
    </row>
    <row r="7" spans="1:11" ht="15" thickBot="1" x14ac:dyDescent="0.25">
      <c r="B7" s="111"/>
      <c r="C7" s="111"/>
      <c r="D7" s="111"/>
      <c r="E7" s="111"/>
      <c r="F7" s="111"/>
      <c r="G7" s="111"/>
      <c r="H7" s="111"/>
      <c r="I7" s="111"/>
      <c r="J7" s="111"/>
      <c r="K7" s="111"/>
    </row>
    <row r="8" spans="1:11" ht="15" x14ac:dyDescent="0.25">
      <c r="B8" s="124" t="s">
        <v>161</v>
      </c>
      <c r="C8" s="125"/>
      <c r="D8" s="125"/>
      <c r="E8" s="125"/>
      <c r="F8" s="125"/>
      <c r="G8" s="125"/>
      <c r="H8" s="125"/>
      <c r="I8" s="125"/>
      <c r="J8" s="125"/>
      <c r="K8" s="126"/>
    </row>
    <row r="9" spans="1:11" x14ac:dyDescent="0.2">
      <c r="B9" s="41"/>
      <c r="C9" s="42" t="s">
        <v>150</v>
      </c>
      <c r="D9" s="52">
        <f ca="1">OFFSET('M2M P&amp;L'!M10,,'Financial Summary - 4 Graph'!$A$1,,)</f>
        <v>1027087.9300000002</v>
      </c>
      <c r="E9" s="52">
        <f ca="1">OFFSET('M2M P&amp;L'!A10,,'Financial Summary - 4 Graph'!$A$1,,)</f>
        <v>902800.36000000022</v>
      </c>
      <c r="F9" s="52">
        <f t="shared" ref="F9:F15" ca="1" si="0">D9-E9</f>
        <v>124287.56999999995</v>
      </c>
      <c r="G9" s="50">
        <f t="shared" ref="G9:G15" ca="1" si="1">F9/E9</f>
        <v>0.13766894155868514</v>
      </c>
      <c r="H9" s="52">
        <f>SUMPRODUCT('M2M P&amp;L'!N6:Y6,'M2M P&amp;L'!N10:Y10)</f>
        <v>8498992.4349000026</v>
      </c>
      <c r="I9" s="52">
        <f>SUMPRODUCT('M2M P&amp;L'!B6:M6,'M2M P&amp;L'!B10:M10)</f>
        <v>8243556.3650000012</v>
      </c>
      <c r="J9" s="52">
        <f t="shared" ref="J9:J15" si="2">H9-I9</f>
        <v>255436.0699000014</v>
      </c>
      <c r="K9" s="51">
        <f t="shared" ref="K9:K15" si="3">J9/I9</f>
        <v>3.0986149495443083E-2</v>
      </c>
    </row>
    <row r="10" spans="1:11" x14ac:dyDescent="0.2">
      <c r="B10" s="44"/>
      <c r="C10" s="45" t="s">
        <v>168</v>
      </c>
      <c r="D10" s="53">
        <f ca="1">OFFSET(Productivity!M6,,'Financial Summary - 4 Graph'!A1,,)</f>
        <v>703072</v>
      </c>
      <c r="E10" s="53">
        <f ca="1">OFFSET(Productivity!A6,,'Financial Summary - 4 Graph'!A1,,)</f>
        <v>656971</v>
      </c>
      <c r="F10" s="54">
        <f t="shared" ca="1" si="0"/>
        <v>46101</v>
      </c>
      <c r="G10" s="55">
        <f t="shared" ca="1" si="1"/>
        <v>7.0172047167987625E-2</v>
      </c>
      <c r="H10" s="53">
        <f>SUMPRODUCT(Productivity!N1:Y1,Productivity!N6:Y6)</f>
        <v>5851271</v>
      </c>
      <c r="I10" s="53">
        <f>SUMPRODUCT(Productivity!B1:M1,Productivity!B6:M6)</f>
        <v>5876671</v>
      </c>
      <c r="J10" s="54">
        <f t="shared" si="2"/>
        <v>-25400</v>
      </c>
      <c r="K10" s="56">
        <f t="shared" si="3"/>
        <v>-4.3221749184189483E-3</v>
      </c>
    </row>
    <row r="11" spans="1:11" x14ac:dyDescent="0.2">
      <c r="B11" s="41"/>
      <c r="C11" s="42" t="s">
        <v>172</v>
      </c>
      <c r="D11" s="48">
        <f ca="1">OFFSET('M2M P&amp;L'!M144,,'Financial Summary - 4 Graph'!A1,,)</f>
        <v>10830.35</v>
      </c>
      <c r="E11" s="48">
        <f ca="1">OFFSET('M2M P&amp;L'!A144,,'Financial Summary - 4 Graph'!A1,,)</f>
        <v>894.06</v>
      </c>
      <c r="F11" s="49">
        <f t="shared" ca="1" si="0"/>
        <v>9936.2900000000009</v>
      </c>
      <c r="G11" s="50">
        <f t="shared" ca="1" si="1"/>
        <v>11.113672460461268</v>
      </c>
      <c r="H11" s="48">
        <f>SUMPRODUCT('M2M P&amp;L'!N6:Y6,'M2M P&amp;L'!N144:Y144)</f>
        <v>113915.62000000001</v>
      </c>
      <c r="I11" s="48">
        <f>SUMPRODUCT('M2M P&amp;L'!B6:M6,'M2M P&amp;L'!B144:M144)</f>
        <v>43015.049999999996</v>
      </c>
      <c r="J11" s="49">
        <f t="shared" si="2"/>
        <v>70900.570000000007</v>
      </c>
      <c r="K11" s="51">
        <f t="shared" si="3"/>
        <v>1.648273569367001</v>
      </c>
    </row>
    <row r="12" spans="1:11" x14ac:dyDescent="0.2">
      <c r="B12" s="44"/>
      <c r="C12" s="45" t="s">
        <v>184</v>
      </c>
      <c r="D12" s="85">
        <f ca="1">D9/D6</f>
        <v>185.5288890895954</v>
      </c>
      <c r="E12" s="85">
        <f ca="1">E9/E6</f>
        <v>174.52162381596756</v>
      </c>
      <c r="F12" s="85">
        <f t="shared" ca="1" si="0"/>
        <v>11.007265273627837</v>
      </c>
      <c r="G12" s="55">
        <f t="shared" ca="1" si="1"/>
        <v>6.3071068403735234E-2</v>
      </c>
      <c r="H12" s="85">
        <f>H9/H6</f>
        <v>184.46796247042741</v>
      </c>
      <c r="I12" s="85">
        <f>I9/I6</f>
        <v>178.15046279687942</v>
      </c>
      <c r="J12" s="85">
        <f t="shared" si="2"/>
        <v>6.3174996735479851</v>
      </c>
      <c r="K12" s="56">
        <f t="shared" si="3"/>
        <v>3.54615956330743E-2</v>
      </c>
    </row>
    <row r="13" spans="1:11" x14ac:dyDescent="0.2">
      <c r="B13" s="41"/>
      <c r="C13" s="42" t="s">
        <v>174</v>
      </c>
      <c r="D13" s="48">
        <f ca="1">SUM(D10:D11)</f>
        <v>713902.35</v>
      </c>
      <c r="E13" s="48">
        <f ca="1">SUM(E10:E11)</f>
        <v>657865.06000000006</v>
      </c>
      <c r="F13" s="49">
        <f ca="1">D13-E13</f>
        <v>56037.289999999921</v>
      </c>
      <c r="G13" s="50">
        <f ca="1">F13/E13</f>
        <v>8.5180523191184396E-2</v>
      </c>
      <c r="H13" s="48">
        <f>SUM(H10:H11)</f>
        <v>5965186.6200000001</v>
      </c>
      <c r="I13" s="48">
        <f>SUM(I10:I11)</f>
        <v>5919686.0499999998</v>
      </c>
      <c r="J13" s="49">
        <f>H13-I13</f>
        <v>45500.570000000298</v>
      </c>
      <c r="K13" s="51">
        <f>J13/I13</f>
        <v>7.6863147159637463E-3</v>
      </c>
    </row>
    <row r="14" spans="1:11" x14ac:dyDescent="0.2">
      <c r="B14" s="44"/>
      <c r="C14" s="45" t="s">
        <v>185</v>
      </c>
      <c r="D14" s="86">
        <f ca="1">D13/D9</f>
        <v>0.69507422796799867</v>
      </c>
      <c r="E14" s="86">
        <f ca="1">E13/E9</f>
        <v>0.72869383880174776</v>
      </c>
      <c r="F14" s="55">
        <f ca="1">D14-E14</f>
        <v>-3.3619610833749092E-2</v>
      </c>
      <c r="G14" s="55"/>
      <c r="H14" s="86">
        <f>H13/H9</f>
        <v>0.70186985877346353</v>
      </c>
      <c r="I14" s="86">
        <f>I13/I9</f>
        <v>0.71809857152593137</v>
      </c>
      <c r="J14" s="55">
        <f>H14-I14</f>
        <v>-1.6228712752467844E-2</v>
      </c>
      <c r="K14" s="56"/>
    </row>
    <row r="15" spans="1:11" x14ac:dyDescent="0.2">
      <c r="B15" s="41"/>
      <c r="C15" s="42" t="s">
        <v>192</v>
      </c>
      <c r="D15" s="87">
        <f ca="1">(D10+D11)/D6</f>
        <v>128.95634934971099</v>
      </c>
      <c r="E15" s="87">
        <f ca="1">(E10+E11)/E6</f>
        <v>127.17283201237194</v>
      </c>
      <c r="F15" s="88">
        <f t="shared" ca="1" si="0"/>
        <v>1.7835173373390489</v>
      </c>
      <c r="G15" s="50">
        <f t="shared" ca="1" si="1"/>
        <v>1.4024358104768323E-2</v>
      </c>
      <c r="H15" s="87">
        <f>(H10+H11)/H6</f>
        <v>129.47250276734746</v>
      </c>
      <c r="I15" s="87">
        <f>(I10+I11)/I6</f>
        <v>127.92959285112268</v>
      </c>
      <c r="J15" s="88">
        <f t="shared" si="2"/>
        <v>1.5429099162247866</v>
      </c>
      <c r="K15" s="51">
        <f t="shared" si="3"/>
        <v>1.2060617733852551E-2</v>
      </c>
    </row>
    <row r="16" spans="1:11" x14ac:dyDescent="0.2">
      <c r="B16" s="115"/>
      <c r="C16" s="116"/>
      <c r="D16" s="116"/>
      <c r="E16" s="116"/>
      <c r="F16" s="116"/>
      <c r="G16" s="116"/>
      <c r="H16" s="116"/>
      <c r="I16" s="116"/>
      <c r="J16" s="116"/>
      <c r="K16" s="117"/>
    </row>
    <row r="17" spans="2:11" ht="15" x14ac:dyDescent="0.25">
      <c r="B17" s="105" t="s">
        <v>165</v>
      </c>
      <c r="C17" s="106"/>
      <c r="D17" s="106"/>
      <c r="E17" s="106"/>
      <c r="F17" s="106"/>
      <c r="G17" s="106"/>
      <c r="H17" s="106"/>
      <c r="I17" s="106"/>
      <c r="J17" s="106"/>
      <c r="K17" s="107"/>
    </row>
    <row r="18" spans="2:11" x14ac:dyDescent="0.2">
      <c r="B18" s="44"/>
      <c r="C18" s="45" t="s">
        <v>166</v>
      </c>
      <c r="D18" s="59">
        <f ca="1">OFFSET('M2M P&amp;L'!M42,,'Financial Summary - 4 Graph'!A1,,)</f>
        <v>133099.20000000001</v>
      </c>
      <c r="E18" s="59">
        <f ca="1">OFFSET('M2M P&amp;L'!A42,,'Financial Summary - 4 Graph'!A1,,)</f>
        <v>523168.46</v>
      </c>
      <c r="F18" s="59">
        <f t="shared" ref="F18:F24" ca="1" si="4">D18-E18</f>
        <v>-390069.26</v>
      </c>
      <c r="G18" s="55">
        <f t="shared" ref="G18:G24" ca="1" si="5">F18/E18</f>
        <v>-0.74559016803115385</v>
      </c>
      <c r="H18" s="59">
        <f>SUMPRODUCT('M2M P&amp;L'!N6:Y6,'M2M P&amp;L'!N42:Y42)</f>
        <v>1500995.3</v>
      </c>
      <c r="I18" s="59">
        <f>SUMPRODUCT('M2M P&amp;L'!B6:M6,'M2M P&amp;L'!B42:M42)</f>
        <v>1786549.51</v>
      </c>
      <c r="J18" s="59">
        <f t="shared" ref="J18:J24" si="6">H18-I18</f>
        <v>-285554.20999999996</v>
      </c>
      <c r="K18" s="56">
        <f t="shared" ref="K18:K24" si="7">J18/I18</f>
        <v>-0.15983559839883751</v>
      </c>
    </row>
    <row r="19" spans="2:11" x14ac:dyDescent="0.2">
      <c r="B19" s="41"/>
      <c r="C19" s="42" t="s">
        <v>175</v>
      </c>
      <c r="D19" s="48">
        <f ca="1">OFFSET('M2M P&amp;L'!M67,,'Financial Summary - 4 Graph'!A1,,)</f>
        <v>145353.61984999999</v>
      </c>
      <c r="E19" s="48">
        <f ca="1">OFFSET('M2M P&amp;L'!A67,,'Financial Summary - 4 Graph'!A1,,)</f>
        <v>234468.23245000001</v>
      </c>
      <c r="F19" s="49">
        <f t="shared" ca="1" si="4"/>
        <v>-89114.612600000022</v>
      </c>
      <c r="G19" s="50">
        <f t="shared" ca="1" si="5"/>
        <v>-0.3800711579083686</v>
      </c>
      <c r="H19" s="48">
        <f>SUMPRODUCT('M2M P&amp;L'!N6:Y6,'M2M P&amp;L'!N67:Y67)</f>
        <v>1520911.3049999999</v>
      </c>
      <c r="I19" s="48">
        <f>SUMPRODUCT('M2M P&amp;L'!B6:M6,'M2M P&amp;L'!B67:M67)</f>
        <v>1502434.0035000001</v>
      </c>
      <c r="J19" s="49">
        <f t="shared" si="6"/>
        <v>18477.301499999827</v>
      </c>
      <c r="K19" s="51">
        <f t="shared" si="7"/>
        <v>1.2298245019053062E-2</v>
      </c>
    </row>
    <row r="20" spans="2:11" x14ac:dyDescent="0.2">
      <c r="B20" s="44"/>
      <c r="C20" s="45" t="s">
        <v>167</v>
      </c>
      <c r="D20" s="53">
        <f ca="1">OFFSET('M2M P&amp;L'!M95,,'Financial Summary - 4 Graph'!A1,,)</f>
        <v>202314.47</v>
      </c>
      <c r="E20" s="53">
        <f ca="1">OFFSET('M2M P&amp;L'!A95,,'Financial Summary - 4 Graph'!A1,,)</f>
        <v>164247.48000000001</v>
      </c>
      <c r="F20" s="54">
        <f t="shared" ca="1" si="4"/>
        <v>38066.989999999991</v>
      </c>
      <c r="G20" s="55">
        <f t="shared" ca="1" si="5"/>
        <v>0.23176605205754139</v>
      </c>
      <c r="H20" s="53">
        <f>SUMPRODUCT('M2M P&amp;L'!N6:Y6,'M2M P&amp;L'!N95:Y95)</f>
        <v>1205942.1100000001</v>
      </c>
      <c r="I20" s="53">
        <f>SUMPRODUCT('M2M P&amp;L'!B6:M6,'M2M P&amp;L'!B95:M95)</f>
        <v>1250189.1399999999</v>
      </c>
      <c r="J20" s="54">
        <f t="shared" si="6"/>
        <v>-44247.029999999795</v>
      </c>
      <c r="K20" s="56">
        <f t="shared" si="7"/>
        <v>-3.5392268725034516E-2</v>
      </c>
    </row>
    <row r="21" spans="2:11" x14ac:dyDescent="0.2">
      <c r="B21" s="41"/>
      <c r="C21" s="42" t="s">
        <v>107</v>
      </c>
      <c r="D21" s="48">
        <f ca="1">OFFSET('M2M P&amp;L'!M112,,'Financial Summary - 4 Graph'!A1,,)</f>
        <v>27912.77</v>
      </c>
      <c r="E21" s="48">
        <f ca="1">OFFSET('M2M P&amp;L'!A112,,'Financial Summary - 4 Graph'!A1,,)</f>
        <v>21926.06</v>
      </c>
      <c r="F21" s="49">
        <f t="shared" ca="1" si="4"/>
        <v>5986.7099999999991</v>
      </c>
      <c r="G21" s="50">
        <f t="shared" ca="1" si="5"/>
        <v>0.27304084728400813</v>
      </c>
      <c r="H21" s="48">
        <f>SUMPRODUCT('M2M P&amp;L'!N6:Y6,'M2M P&amp;L'!N112:Y112)</f>
        <v>167546.72999999998</v>
      </c>
      <c r="I21" s="48">
        <f>SUMPRODUCT('M2M P&amp;L'!B6:M6,'M2M P&amp;L'!B112:M112)</f>
        <v>145803.16999999998</v>
      </c>
      <c r="J21" s="49">
        <f t="shared" si="6"/>
        <v>21743.559999999998</v>
      </c>
      <c r="K21" s="51">
        <f t="shared" si="7"/>
        <v>0.14912954224520633</v>
      </c>
    </row>
    <row r="22" spans="2:11" x14ac:dyDescent="0.2">
      <c r="B22" s="44"/>
      <c r="C22" s="45" t="s">
        <v>120</v>
      </c>
      <c r="D22" s="53">
        <f ca="1">OFFSET('M2M P&amp;L'!M137,,'Financial Summary - 4 Graph'!A1,,)</f>
        <v>15442.76</v>
      </c>
      <c r="E22" s="53">
        <f ca="1">OFFSET('M2M P&amp;L'!A137,,'Financial Summary - 4 Graph'!A1,,)</f>
        <v>25545.5</v>
      </c>
      <c r="F22" s="54">
        <f t="shared" ca="1" si="4"/>
        <v>-10102.74</v>
      </c>
      <c r="G22" s="55">
        <f t="shared" ca="1" si="5"/>
        <v>-0.39548022156544205</v>
      </c>
      <c r="H22" s="53">
        <f>SUMPRODUCT('M2M P&amp;L'!N6:Y6,'M2M P&amp;L'!N137:Y137)</f>
        <v>210332.11000000002</v>
      </c>
      <c r="I22" s="53">
        <f>SUMPRODUCT('M2M P&amp;L'!B6:M6,'M2M P&amp;L'!B137:M137)</f>
        <v>219062.81</v>
      </c>
      <c r="J22" s="54">
        <f t="shared" si="6"/>
        <v>-8730.6999999999825</v>
      </c>
      <c r="K22" s="56">
        <f t="shared" si="7"/>
        <v>-3.9854779549299044E-2</v>
      </c>
    </row>
    <row r="23" spans="2:11" x14ac:dyDescent="0.2">
      <c r="B23" s="41"/>
      <c r="C23" s="42" t="s">
        <v>173</v>
      </c>
      <c r="D23" s="60">
        <f ca="1">SUM(D18:D22)</f>
        <v>524122.81984999997</v>
      </c>
      <c r="E23" s="60">
        <f ca="1">SUM(E18:E22)</f>
        <v>969355.73245000001</v>
      </c>
      <c r="F23" s="52">
        <f t="shared" ca="1" si="4"/>
        <v>-445232.91260000004</v>
      </c>
      <c r="G23" s="50">
        <f t="shared" ca="1" si="5"/>
        <v>-0.45930807204770457</v>
      </c>
      <c r="H23" s="60">
        <f>SUM(H18:H22)</f>
        <v>4605727.5550000006</v>
      </c>
      <c r="I23" s="60">
        <f>SUM(I18:I22)</f>
        <v>4904038.6334999995</v>
      </c>
      <c r="J23" s="52">
        <f t="shared" si="6"/>
        <v>-298311.0784999989</v>
      </c>
      <c r="K23" s="51">
        <f t="shared" si="7"/>
        <v>-6.0829675456103627E-2</v>
      </c>
    </row>
    <row r="24" spans="2:11" x14ac:dyDescent="0.2">
      <c r="B24" s="44"/>
      <c r="C24" s="45" t="s">
        <v>176</v>
      </c>
      <c r="D24" s="57">
        <f ca="1">(D23-D18)/D6</f>
        <v>70.632879308164732</v>
      </c>
      <c r="E24" s="57">
        <f ca="1">(E23-E18)/E6</f>
        <v>86.253097322636762</v>
      </c>
      <c r="F24" s="59">
        <f t="shared" ca="1" si="4"/>
        <v>-15.62021801447203</v>
      </c>
      <c r="G24" s="55">
        <f t="shared" ca="1" si="5"/>
        <v>-0.1810974735903492</v>
      </c>
      <c r="H24" s="57">
        <f>(H23-H18)/H6</f>
        <v>67.387238838365221</v>
      </c>
      <c r="I24" s="57">
        <f>(I23-I18)/I6</f>
        <v>67.371666490177859</v>
      </c>
      <c r="J24" s="58">
        <f t="shared" si="6"/>
        <v>1.5572348187362195E-2</v>
      </c>
      <c r="K24" s="56">
        <f t="shared" si="7"/>
        <v>2.3114090831688857E-4</v>
      </c>
    </row>
    <row r="25" spans="2:11" x14ac:dyDescent="0.2">
      <c r="B25" s="108"/>
      <c r="C25" s="109"/>
      <c r="D25" s="109"/>
      <c r="E25" s="109"/>
      <c r="F25" s="109"/>
      <c r="G25" s="109"/>
      <c r="H25" s="109"/>
      <c r="I25" s="109"/>
      <c r="J25" s="109"/>
      <c r="K25" s="110"/>
    </row>
    <row r="26" spans="2:11" ht="15.75" thickBot="1" x14ac:dyDescent="0.3">
      <c r="B26" s="94" t="s">
        <v>28</v>
      </c>
      <c r="C26" s="91"/>
      <c r="D26" s="92">
        <f ca="1">D13-D23</f>
        <v>189779.53015000001</v>
      </c>
      <c r="E26" s="92">
        <f ca="1">E13-E23</f>
        <v>-311490.67244999995</v>
      </c>
      <c r="F26" s="92">
        <f ca="1">D26-E26</f>
        <v>501270.20259999996</v>
      </c>
      <c r="G26" s="93">
        <f ca="1">F26/E26</f>
        <v>-1.6092623212673027</v>
      </c>
      <c r="H26" s="92">
        <f>H13-H23</f>
        <v>1359459.0649999995</v>
      </c>
      <c r="I26" s="92">
        <f>I13-I23</f>
        <v>1015647.4165000003</v>
      </c>
      <c r="J26" s="92">
        <f>H26-I26</f>
        <v>343811.6484999992</v>
      </c>
      <c r="K26" s="95">
        <f>J26/I26</f>
        <v>0.33851476695013</v>
      </c>
    </row>
    <row r="27" spans="2:11" ht="15" thickBot="1" x14ac:dyDescent="0.25">
      <c r="B27" s="111"/>
      <c r="C27" s="111"/>
      <c r="D27" s="111"/>
      <c r="E27" s="111"/>
      <c r="F27" s="111"/>
      <c r="G27" s="111"/>
      <c r="H27" s="111"/>
      <c r="I27" s="111"/>
      <c r="J27" s="111"/>
      <c r="K27" s="111"/>
    </row>
    <row r="28" spans="2:11" ht="15" x14ac:dyDescent="0.25">
      <c r="B28" s="105" t="s">
        <v>162</v>
      </c>
      <c r="C28" s="106"/>
      <c r="D28" s="106"/>
      <c r="E28" s="106"/>
      <c r="F28" s="106"/>
      <c r="G28" s="106"/>
      <c r="H28" s="106"/>
      <c r="I28" s="106"/>
      <c r="J28" s="106"/>
      <c r="K28" s="107"/>
    </row>
    <row r="29" spans="2:11" ht="15" x14ac:dyDescent="0.25">
      <c r="B29" s="78"/>
      <c r="C29" s="90" t="s">
        <v>186</v>
      </c>
      <c r="D29" s="59">
        <f ca="1">OFFSET('M2M Balance Sheet'!M26,,'Financial Summary - 4 Graph'!$A$1,,)</f>
        <v>108338.04</v>
      </c>
      <c r="E29" s="53">
        <f ca="1">OFFSET('M2M Balance Sheet'!A26,,'Financial Summary - 4 Graph'!$A$1,,)</f>
        <v>13850.25</v>
      </c>
      <c r="F29" s="59">
        <f ca="1">D29-E29</f>
        <v>94487.79</v>
      </c>
      <c r="G29" s="55">
        <f ca="1">F29/E29</f>
        <v>6.8220999620945468</v>
      </c>
      <c r="H29" s="79"/>
      <c r="I29" s="79"/>
      <c r="J29" s="79"/>
      <c r="K29" s="80"/>
    </row>
    <row r="30" spans="2:11" ht="15" x14ac:dyDescent="0.25">
      <c r="B30" s="75"/>
      <c r="C30" s="89" t="s">
        <v>188</v>
      </c>
      <c r="D30" s="52">
        <f ca="1">OFFSET('M2M Balance Sheet'!M45,,'Financial Summary - 4 Graph'!$A$1,,)</f>
        <v>80263.931000000011</v>
      </c>
      <c r="E30" s="48">
        <f ca="1">OFFSET('M2M Balance Sheet'!A45,,'Financial Summary - 4 Graph'!$A$1,,)</f>
        <v>6089.2480000000005</v>
      </c>
      <c r="F30" s="52">
        <f ca="1">D30-E30</f>
        <v>74174.683000000005</v>
      </c>
      <c r="G30" s="50">
        <f ca="1">F30/E30</f>
        <v>12.181255058095843</v>
      </c>
      <c r="H30" s="76"/>
      <c r="I30" s="76"/>
      <c r="J30" s="76"/>
      <c r="K30" s="77"/>
    </row>
    <row r="31" spans="2:11" x14ac:dyDescent="0.2">
      <c r="B31" s="44"/>
      <c r="C31" s="45" t="s">
        <v>163</v>
      </c>
      <c r="D31" s="59">
        <f ca="1">OFFSET('M2M Balance Sheet'!M16,,'Financial Summary - 4 Graph'!$A$1,,)</f>
        <v>558380.12999999896</v>
      </c>
      <c r="E31" s="53">
        <f ca="1">OFFSET('M2M Balance Sheet'!A16,,'Financial Summary - 4 Graph'!$A$1,,)</f>
        <v>487786.679999999</v>
      </c>
      <c r="F31" s="59">
        <f ca="1">D31-E31</f>
        <v>70593.449999999953</v>
      </c>
      <c r="G31" s="55">
        <f ca="1">F31/E31</f>
        <v>0.14472197149786889</v>
      </c>
      <c r="H31" s="45"/>
      <c r="I31" s="45"/>
      <c r="J31" s="45"/>
      <c r="K31" s="46"/>
    </row>
    <row r="32" spans="2:11" ht="15" thickBot="1" x14ac:dyDescent="0.25">
      <c r="B32" s="61"/>
      <c r="C32" s="62" t="s">
        <v>164</v>
      </c>
      <c r="D32" s="63">
        <f ca="1">OFFSET('M2M Balance Sheet'!M13,,'Financial Summary - 4 Graph'!A1,,)+OFFSET('M2M Balance Sheet'!M14,,'Financial Summary - 4 Graph'!A1,,)</f>
        <v>762575</v>
      </c>
      <c r="E32" s="63">
        <f ca="1">OFFSET('M2M Balance Sheet'!A13,,'Financial Summary - 4 Graph'!A1,,)+OFFSET('M2M Balance Sheet'!A14,,'Financial Summary - 4 Graph'!A1,,)</f>
        <v>465116.98</v>
      </c>
      <c r="F32" s="63">
        <f ca="1">D32-E32</f>
        <v>297458.02</v>
      </c>
      <c r="G32" s="64">
        <f ca="1">F32/E32</f>
        <v>0.6395337792225948</v>
      </c>
      <c r="H32" s="62"/>
      <c r="I32" s="62"/>
      <c r="J32" s="62"/>
      <c r="K32" s="65"/>
    </row>
    <row r="33" spans="1:10" ht="15" thickBot="1" x14ac:dyDescent="0.25"/>
    <row r="34" spans="1:10" ht="15.75" thickBot="1" x14ac:dyDescent="0.3">
      <c r="A34" s="84">
        <v>8.25</v>
      </c>
      <c r="B34" s="69" t="s">
        <v>177</v>
      </c>
      <c r="C34" s="66"/>
      <c r="D34" s="67" t="s">
        <v>187</v>
      </c>
      <c r="E34" s="68" t="s">
        <v>201</v>
      </c>
      <c r="G34" s="112" t="s">
        <v>198</v>
      </c>
      <c r="H34" s="113"/>
      <c r="I34" s="113"/>
      <c r="J34" s="114"/>
    </row>
    <row r="35" spans="1:10" ht="15" x14ac:dyDescent="0.25">
      <c r="B35" s="70" t="s">
        <v>169</v>
      </c>
      <c r="C35" s="42"/>
      <c r="D35" s="42"/>
      <c r="E35" s="43"/>
    </row>
    <row r="36" spans="1:10" x14ac:dyDescent="0.2">
      <c r="B36" s="44"/>
      <c r="C36" s="45" t="s">
        <v>182</v>
      </c>
      <c r="D36" s="54">
        <f>((H6/$A$1)*12)/$A$34</f>
        <v>7446.1414141414143</v>
      </c>
      <c r="E36" s="71">
        <v>6250</v>
      </c>
    </row>
    <row r="37" spans="1:10" x14ac:dyDescent="0.2">
      <c r="B37" s="41"/>
      <c r="C37" s="42"/>
      <c r="D37" s="42"/>
      <c r="E37" s="43"/>
    </row>
    <row r="38" spans="1:10" ht="15" x14ac:dyDescent="0.25">
      <c r="B38" s="47" t="s">
        <v>161</v>
      </c>
      <c r="C38" s="45"/>
      <c r="D38" s="45"/>
      <c r="E38" s="46"/>
    </row>
    <row r="39" spans="1:10" x14ac:dyDescent="0.2">
      <c r="B39" s="41"/>
      <c r="C39" s="42" t="s">
        <v>178</v>
      </c>
      <c r="D39" s="52">
        <f>((H13/$A$1)*12)/$A$34</f>
        <v>964070.56484848482</v>
      </c>
      <c r="E39" s="72">
        <v>760000</v>
      </c>
    </row>
    <row r="40" spans="1:10" x14ac:dyDescent="0.2">
      <c r="B40" s="44"/>
      <c r="C40" s="45"/>
      <c r="D40" s="45"/>
      <c r="E40" s="46"/>
    </row>
    <row r="41" spans="1:10" ht="15" x14ac:dyDescent="0.25">
      <c r="B41" s="70" t="s">
        <v>179</v>
      </c>
      <c r="C41" s="42"/>
      <c r="D41" s="42"/>
      <c r="E41" s="43"/>
    </row>
    <row r="42" spans="1:10" x14ac:dyDescent="0.2">
      <c r="B42" s="44"/>
      <c r="C42" s="45" t="s">
        <v>180</v>
      </c>
      <c r="D42" s="59">
        <f>(((H23-H18)/$A$1)*12)/$A$34</f>
        <v>501774.90989899001</v>
      </c>
      <c r="E42" s="73">
        <v>465000</v>
      </c>
    </row>
    <row r="43" spans="1:10" ht="15" thickBot="1" x14ac:dyDescent="0.25">
      <c r="B43" s="61"/>
      <c r="C43" s="62" t="s">
        <v>181</v>
      </c>
      <c r="D43" s="64">
        <f>D42/D39</f>
        <v>0.52047529319376107</v>
      </c>
      <c r="E43" s="74">
        <v>0.58589999999999998</v>
      </c>
    </row>
  </sheetData>
  <mergeCells count="11">
    <mergeCell ref="B16:K16"/>
    <mergeCell ref="B1:K1"/>
    <mergeCell ref="B2:K2"/>
    <mergeCell ref="B5:K5"/>
    <mergeCell ref="B7:K7"/>
    <mergeCell ref="B8:K8"/>
    <mergeCell ref="B17:K17"/>
    <mergeCell ref="B25:K25"/>
    <mergeCell ref="B27:K27"/>
    <mergeCell ref="B28:K28"/>
    <mergeCell ref="G34:J34"/>
  </mergeCells>
  <pageMargins left="0.7" right="0.7" top="0.75" bottom="0.75" header="0.3" footer="0.3"/>
  <pageSetup scale="73" orientation="landscape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 moveWithCells="1">
                  <from>
                    <xdr:col>11</xdr:col>
                    <xdr:colOff>180975</xdr:colOff>
                    <xdr:row>0</xdr:row>
                    <xdr:rowOff>123825</xdr:rowOff>
                  </from>
                  <to>
                    <xdr:col>12</xdr:col>
                    <xdr:colOff>28575</xdr:colOff>
                    <xdr:row>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pageSetUpPr fitToPage="1"/>
  </sheetPr>
  <dimension ref="A1:K43"/>
  <sheetViews>
    <sheetView zoomScale="70" zoomScaleNormal="70"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E35" sqref="E35"/>
    </sheetView>
  </sheetViews>
  <sheetFormatPr defaultRowHeight="14.25" x14ac:dyDescent="0.2"/>
  <cols>
    <col min="1" max="1" width="2.625" customWidth="1"/>
    <col min="2" max="2" width="3.875" customWidth="1"/>
    <col min="3" max="3" width="30.125" bestFit="1" customWidth="1"/>
    <col min="4" max="5" width="18.875" bestFit="1" customWidth="1"/>
    <col min="6" max="6" width="11.125" bestFit="1" customWidth="1"/>
    <col min="7" max="7" width="10" bestFit="1" customWidth="1"/>
    <col min="8" max="8" width="11.75" bestFit="1" customWidth="1"/>
    <col min="9" max="9" width="12.125" bestFit="1" customWidth="1"/>
    <col min="10" max="10" width="11.75" bestFit="1" customWidth="1"/>
    <col min="11" max="11" width="8" bestFit="1" customWidth="1"/>
  </cols>
  <sheetData>
    <row r="1" spans="1:11" ht="15" x14ac:dyDescent="0.25">
      <c r="A1" s="84">
        <v>9</v>
      </c>
      <c r="B1" s="118" t="s">
        <v>187</v>
      </c>
      <c r="C1" s="119"/>
      <c r="D1" s="119"/>
      <c r="E1" s="119"/>
      <c r="F1" s="119"/>
      <c r="G1" s="119"/>
      <c r="H1" s="119"/>
      <c r="I1" s="119"/>
      <c r="J1" s="119"/>
      <c r="K1" s="120"/>
    </row>
    <row r="2" spans="1:11" ht="15" x14ac:dyDescent="0.25">
      <c r="B2" s="121">
        <f>VLOOKUP(A1,Key!A3:B14,2,FALSE)</f>
        <v>43008</v>
      </c>
      <c r="C2" s="122"/>
      <c r="D2" s="122"/>
      <c r="E2" s="122"/>
      <c r="F2" s="122"/>
      <c r="G2" s="122"/>
      <c r="H2" s="122"/>
      <c r="I2" s="122"/>
      <c r="J2" s="122"/>
      <c r="K2" s="123"/>
    </row>
    <row r="3" spans="1:11" x14ac:dyDescent="0.2">
      <c r="B3" s="44"/>
      <c r="C3" s="45"/>
      <c r="D3" s="45"/>
      <c r="E3" s="45"/>
      <c r="F3" s="45"/>
      <c r="G3" s="45"/>
      <c r="H3" s="45"/>
      <c r="I3" s="45"/>
      <c r="J3" s="45"/>
      <c r="K3" s="46"/>
    </row>
    <row r="4" spans="1:11" ht="15" x14ac:dyDescent="0.25">
      <c r="B4" s="70"/>
      <c r="C4" s="97"/>
      <c r="D4" s="98">
        <f>B2</f>
        <v>43008</v>
      </c>
      <c r="E4" s="98">
        <f>D4-365</f>
        <v>42643</v>
      </c>
      <c r="F4" s="97" t="s">
        <v>171</v>
      </c>
      <c r="G4" s="97" t="s">
        <v>170</v>
      </c>
      <c r="H4" s="97" t="s">
        <v>199</v>
      </c>
      <c r="I4" s="97" t="s">
        <v>200</v>
      </c>
      <c r="J4" s="97" t="s">
        <v>171</v>
      </c>
      <c r="K4" s="99" t="s">
        <v>170</v>
      </c>
    </row>
    <row r="5" spans="1:11" ht="15" x14ac:dyDescent="0.25">
      <c r="B5" s="124" t="s">
        <v>169</v>
      </c>
      <c r="C5" s="125"/>
      <c r="D5" s="125"/>
      <c r="E5" s="125"/>
      <c r="F5" s="125"/>
      <c r="G5" s="125"/>
      <c r="H5" s="125"/>
      <c r="I5" s="125"/>
      <c r="J5" s="125"/>
      <c r="K5" s="126"/>
    </row>
    <row r="6" spans="1:11" ht="15" thickBot="1" x14ac:dyDescent="0.25">
      <c r="B6" s="41"/>
      <c r="C6" s="42" t="s">
        <v>183</v>
      </c>
      <c r="D6" s="48">
        <f ca="1">OFFSET(Productivity!$M$4,0,'Financial Summary - Final'!$A$1,,)</f>
        <v>5536</v>
      </c>
      <c r="E6" s="48">
        <f ca="1">OFFSET(Productivity!A4,0,'Financial Summary - Final'!$A$1,,)</f>
        <v>5173</v>
      </c>
      <c r="F6" s="49">
        <f ca="1">D6-E6</f>
        <v>363</v>
      </c>
      <c r="G6" s="50">
        <f ca="1">F6/E6</f>
        <v>7.0172047167987625E-2</v>
      </c>
      <c r="H6" s="48">
        <f>SUMPRODUCT(Productivity!N1:Y1,Productivity!N4:Y4)</f>
        <v>46073</v>
      </c>
      <c r="I6" s="48">
        <f>SUMPRODUCT(Productivity!B1:M1,Productivity!B4:M4)</f>
        <v>46273</v>
      </c>
      <c r="J6" s="49">
        <f>H6-I6</f>
        <v>-200</v>
      </c>
      <c r="K6" s="51">
        <f>J6/I6</f>
        <v>-4.3221749184189483E-3</v>
      </c>
    </row>
    <row r="7" spans="1:11" ht="15" thickBot="1" x14ac:dyDescent="0.25">
      <c r="B7" s="111"/>
      <c r="C7" s="111"/>
      <c r="D7" s="111"/>
      <c r="E7" s="111"/>
      <c r="F7" s="111"/>
      <c r="G7" s="111"/>
      <c r="H7" s="111"/>
      <c r="I7" s="111"/>
      <c r="J7" s="111"/>
      <c r="K7" s="111"/>
    </row>
    <row r="8" spans="1:11" ht="15" x14ac:dyDescent="0.25">
      <c r="B8" s="124" t="s">
        <v>161</v>
      </c>
      <c r="C8" s="125"/>
      <c r="D8" s="125"/>
      <c r="E8" s="125"/>
      <c r="F8" s="125"/>
      <c r="G8" s="125"/>
      <c r="H8" s="125"/>
      <c r="I8" s="125"/>
      <c r="J8" s="125"/>
      <c r="K8" s="126"/>
    </row>
    <row r="9" spans="1:11" x14ac:dyDescent="0.2">
      <c r="B9" s="41"/>
      <c r="C9" s="42" t="s">
        <v>150</v>
      </c>
      <c r="D9" s="52">
        <f ca="1">OFFSET('M2M P&amp;L'!M10,,'Financial Summary - Final'!$A$1,,)</f>
        <v>1027087.9300000002</v>
      </c>
      <c r="E9" s="52">
        <f ca="1">OFFSET('M2M P&amp;L'!A10,,'Financial Summary - Final'!$A$1,,)</f>
        <v>902800.36000000022</v>
      </c>
      <c r="F9" s="52">
        <f t="shared" ref="F9:F15" ca="1" si="0">D9-E9</f>
        <v>124287.56999999995</v>
      </c>
      <c r="G9" s="50">
        <f t="shared" ref="G9:G15" ca="1" si="1">F9/E9</f>
        <v>0.13766894155868514</v>
      </c>
      <c r="H9" s="52">
        <f>SUMPRODUCT('M2M P&amp;L'!N6:Y6,'M2M P&amp;L'!N10:Y10)</f>
        <v>8498992.4349000026</v>
      </c>
      <c r="I9" s="52">
        <f>SUMPRODUCT('M2M P&amp;L'!B6:M6,'M2M P&amp;L'!B10:M10)</f>
        <v>8243556.3650000012</v>
      </c>
      <c r="J9" s="52">
        <f t="shared" ref="J9:J15" si="2">H9-I9</f>
        <v>255436.0699000014</v>
      </c>
      <c r="K9" s="51">
        <f t="shared" ref="K9:K15" si="3">J9/I9</f>
        <v>3.0986149495443083E-2</v>
      </c>
    </row>
    <row r="10" spans="1:11" x14ac:dyDescent="0.2">
      <c r="B10" s="44"/>
      <c r="C10" s="45" t="s">
        <v>168</v>
      </c>
      <c r="D10" s="53">
        <f ca="1">OFFSET(Productivity!M6,,'Financial Summary - Final'!A1,,)</f>
        <v>703072</v>
      </c>
      <c r="E10" s="53">
        <f ca="1">OFFSET(Productivity!A6,,'Financial Summary - Final'!A1,,)</f>
        <v>656971</v>
      </c>
      <c r="F10" s="54">
        <f t="shared" ca="1" si="0"/>
        <v>46101</v>
      </c>
      <c r="G10" s="55">
        <f t="shared" ca="1" si="1"/>
        <v>7.0172047167987625E-2</v>
      </c>
      <c r="H10" s="53">
        <f>SUMPRODUCT(Productivity!N1:Y1,Productivity!N6:Y6)</f>
        <v>5851271</v>
      </c>
      <c r="I10" s="53">
        <f>SUMPRODUCT(Productivity!B1:M1,Productivity!B6:M6)</f>
        <v>5876671</v>
      </c>
      <c r="J10" s="54">
        <f t="shared" si="2"/>
        <v>-25400</v>
      </c>
      <c r="K10" s="56">
        <f t="shared" si="3"/>
        <v>-4.3221749184189483E-3</v>
      </c>
    </row>
    <row r="11" spans="1:11" x14ac:dyDescent="0.2">
      <c r="B11" s="41"/>
      <c r="C11" s="42" t="s">
        <v>172</v>
      </c>
      <c r="D11" s="48">
        <f ca="1">OFFSET('M2M P&amp;L'!M144,,'Financial Summary - Final'!A1,,)</f>
        <v>10830.35</v>
      </c>
      <c r="E11" s="48">
        <f ca="1">OFFSET('M2M P&amp;L'!A144,,'Financial Summary - Final'!A1,,)</f>
        <v>894.06</v>
      </c>
      <c r="F11" s="49">
        <f t="shared" ca="1" si="0"/>
        <v>9936.2900000000009</v>
      </c>
      <c r="G11" s="50">
        <f t="shared" ca="1" si="1"/>
        <v>11.113672460461268</v>
      </c>
      <c r="H11" s="48">
        <f>SUMPRODUCT('M2M P&amp;L'!N6:Y6,'M2M P&amp;L'!N144:Y144)</f>
        <v>113915.62000000001</v>
      </c>
      <c r="I11" s="48">
        <f>SUMPRODUCT('M2M P&amp;L'!B6:M6,'M2M P&amp;L'!B144:M144)</f>
        <v>43015.049999999996</v>
      </c>
      <c r="J11" s="49">
        <f t="shared" si="2"/>
        <v>70900.570000000007</v>
      </c>
      <c r="K11" s="51">
        <f t="shared" si="3"/>
        <v>1.648273569367001</v>
      </c>
    </row>
    <row r="12" spans="1:11" x14ac:dyDescent="0.2">
      <c r="B12" s="44"/>
      <c r="C12" s="45" t="s">
        <v>184</v>
      </c>
      <c r="D12" s="85">
        <f ca="1">D9/D6</f>
        <v>185.5288890895954</v>
      </c>
      <c r="E12" s="85">
        <f ca="1">E9/E6</f>
        <v>174.52162381596756</v>
      </c>
      <c r="F12" s="85">
        <f t="shared" ref="F12" ca="1" si="4">D12-E12</f>
        <v>11.007265273627837</v>
      </c>
      <c r="G12" s="55">
        <f t="shared" ref="G12" ca="1" si="5">F12/E12</f>
        <v>6.3071068403735234E-2</v>
      </c>
      <c r="H12" s="85">
        <f>H9/H6</f>
        <v>184.46796247042741</v>
      </c>
      <c r="I12" s="85">
        <f>I9/I6</f>
        <v>178.15046279687942</v>
      </c>
      <c r="J12" s="85">
        <f t="shared" si="2"/>
        <v>6.3174996735479851</v>
      </c>
      <c r="K12" s="56">
        <f t="shared" si="3"/>
        <v>3.54615956330743E-2</v>
      </c>
    </row>
    <row r="13" spans="1:11" x14ac:dyDescent="0.2">
      <c r="B13" s="41"/>
      <c r="C13" s="42" t="s">
        <v>174</v>
      </c>
      <c r="D13" s="48">
        <f ca="1">SUM(D10:D11)</f>
        <v>713902.35</v>
      </c>
      <c r="E13" s="48">
        <f ca="1">SUM(E10:E11)</f>
        <v>657865.06000000006</v>
      </c>
      <c r="F13" s="49">
        <f ca="1">D13-E13</f>
        <v>56037.289999999921</v>
      </c>
      <c r="G13" s="50">
        <f ca="1">F13/E13</f>
        <v>8.5180523191184396E-2</v>
      </c>
      <c r="H13" s="48">
        <f>SUM(H10:H11)</f>
        <v>5965186.6200000001</v>
      </c>
      <c r="I13" s="48">
        <f>SUM(I10:I11)</f>
        <v>5919686.0499999998</v>
      </c>
      <c r="J13" s="49">
        <f>H13-I13</f>
        <v>45500.570000000298</v>
      </c>
      <c r="K13" s="51">
        <f>J13/I13</f>
        <v>7.6863147159637463E-3</v>
      </c>
    </row>
    <row r="14" spans="1:11" s="82" customFormat="1" x14ac:dyDescent="0.2">
      <c r="B14" s="44"/>
      <c r="C14" s="45" t="s">
        <v>185</v>
      </c>
      <c r="D14" s="86">
        <f ca="1">D13/D9</f>
        <v>0.69507422796799867</v>
      </c>
      <c r="E14" s="86">
        <f ca="1">E13/E9</f>
        <v>0.72869383880174776</v>
      </c>
      <c r="F14" s="55">
        <f ca="1">D14-E14</f>
        <v>-3.3619610833749092E-2</v>
      </c>
      <c r="G14" s="55"/>
      <c r="H14" s="86">
        <f>H13/H9</f>
        <v>0.70186985877346353</v>
      </c>
      <c r="I14" s="86">
        <f>I13/I9</f>
        <v>0.71809857152593137</v>
      </c>
      <c r="J14" s="55">
        <f>H14-I14</f>
        <v>-1.6228712752467844E-2</v>
      </c>
      <c r="K14" s="56"/>
    </row>
    <row r="15" spans="1:11" x14ac:dyDescent="0.2">
      <c r="B15" s="41"/>
      <c r="C15" s="42" t="s">
        <v>192</v>
      </c>
      <c r="D15" s="87">
        <f ca="1">(D10+D11)/D6</f>
        <v>128.95634934971099</v>
      </c>
      <c r="E15" s="87">
        <f ca="1">(E10+E11)/E6</f>
        <v>127.17283201237194</v>
      </c>
      <c r="F15" s="88">
        <f t="shared" ca="1" si="0"/>
        <v>1.7835173373390489</v>
      </c>
      <c r="G15" s="50">
        <f t="shared" ca="1" si="1"/>
        <v>1.4024358104768323E-2</v>
      </c>
      <c r="H15" s="87">
        <f>(H10+H11)/H6</f>
        <v>129.47250276734746</v>
      </c>
      <c r="I15" s="87">
        <f>(I10+I11)/I6</f>
        <v>127.92959285112268</v>
      </c>
      <c r="J15" s="88">
        <f t="shared" si="2"/>
        <v>1.5429099162247866</v>
      </c>
      <c r="K15" s="51">
        <f t="shared" si="3"/>
        <v>1.2060617733852551E-2</v>
      </c>
    </row>
    <row r="16" spans="1:11" x14ac:dyDescent="0.2">
      <c r="B16" s="115"/>
      <c r="C16" s="116"/>
      <c r="D16" s="116"/>
      <c r="E16" s="116"/>
      <c r="F16" s="116"/>
      <c r="G16" s="116"/>
      <c r="H16" s="116"/>
      <c r="I16" s="116"/>
      <c r="J16" s="116"/>
      <c r="K16" s="117"/>
    </row>
    <row r="17" spans="2:11" ht="15" x14ac:dyDescent="0.25">
      <c r="B17" s="105" t="s">
        <v>165</v>
      </c>
      <c r="C17" s="106"/>
      <c r="D17" s="106"/>
      <c r="E17" s="106"/>
      <c r="F17" s="106"/>
      <c r="G17" s="106"/>
      <c r="H17" s="106"/>
      <c r="I17" s="106"/>
      <c r="J17" s="106"/>
      <c r="K17" s="107"/>
    </row>
    <row r="18" spans="2:11" x14ac:dyDescent="0.2">
      <c r="B18" s="44"/>
      <c r="C18" s="45" t="s">
        <v>166</v>
      </c>
      <c r="D18" s="59">
        <f ca="1">OFFSET('M2M P&amp;L'!M42,,'Financial Summary - Final'!A1,,)</f>
        <v>133099.20000000001</v>
      </c>
      <c r="E18" s="59">
        <f ca="1">OFFSET('M2M P&amp;L'!A42,,'Financial Summary - Final'!A1,,)</f>
        <v>523168.46</v>
      </c>
      <c r="F18" s="59">
        <f t="shared" ref="F18:F24" ca="1" si="6">D18-E18</f>
        <v>-390069.26</v>
      </c>
      <c r="G18" s="55">
        <f t="shared" ref="G18:G24" ca="1" si="7">F18/E18</f>
        <v>-0.74559016803115385</v>
      </c>
      <c r="H18" s="59">
        <f>SUMPRODUCT('M2M P&amp;L'!N6:Y6,'M2M P&amp;L'!N42:Y42)</f>
        <v>1500995.3</v>
      </c>
      <c r="I18" s="59">
        <f>SUMPRODUCT('M2M P&amp;L'!B6:M6,'M2M P&amp;L'!B42:M42)</f>
        <v>1786549.51</v>
      </c>
      <c r="J18" s="59">
        <f t="shared" ref="J18:J24" si="8">H18-I18</f>
        <v>-285554.20999999996</v>
      </c>
      <c r="K18" s="56">
        <f t="shared" ref="K18:K24" si="9">J18/I18</f>
        <v>-0.15983559839883751</v>
      </c>
    </row>
    <row r="19" spans="2:11" x14ac:dyDescent="0.2">
      <c r="B19" s="41"/>
      <c r="C19" s="42" t="s">
        <v>175</v>
      </c>
      <c r="D19" s="48">
        <f ca="1">OFFSET('M2M P&amp;L'!M67,,'Financial Summary - Final'!A1,,)</f>
        <v>145353.61984999999</v>
      </c>
      <c r="E19" s="48">
        <f ca="1">OFFSET('M2M P&amp;L'!A67,,'Financial Summary - Final'!A1,,)</f>
        <v>234468.23245000001</v>
      </c>
      <c r="F19" s="49">
        <f t="shared" ca="1" si="6"/>
        <v>-89114.612600000022</v>
      </c>
      <c r="G19" s="50">
        <f t="shared" ca="1" si="7"/>
        <v>-0.3800711579083686</v>
      </c>
      <c r="H19" s="48">
        <f>SUMPRODUCT('M2M P&amp;L'!N6:Y6,'M2M P&amp;L'!N67:Y67)</f>
        <v>1520911.3049999999</v>
      </c>
      <c r="I19" s="48">
        <f>SUMPRODUCT('M2M P&amp;L'!B6:M6,'M2M P&amp;L'!B67:M67)</f>
        <v>1502434.0035000001</v>
      </c>
      <c r="J19" s="49">
        <f t="shared" si="8"/>
        <v>18477.301499999827</v>
      </c>
      <c r="K19" s="51">
        <f t="shared" si="9"/>
        <v>1.2298245019053062E-2</v>
      </c>
    </row>
    <row r="20" spans="2:11" x14ac:dyDescent="0.2">
      <c r="B20" s="44"/>
      <c r="C20" s="45" t="s">
        <v>167</v>
      </c>
      <c r="D20" s="53">
        <f ca="1">OFFSET('M2M P&amp;L'!M95,,'Financial Summary - Final'!A1,,)</f>
        <v>202314.47</v>
      </c>
      <c r="E20" s="53">
        <f ca="1">OFFSET('M2M P&amp;L'!A95,,'Financial Summary - Final'!A1,,)</f>
        <v>164247.48000000001</v>
      </c>
      <c r="F20" s="54">
        <f t="shared" ca="1" si="6"/>
        <v>38066.989999999991</v>
      </c>
      <c r="G20" s="55">
        <f t="shared" ca="1" si="7"/>
        <v>0.23176605205754139</v>
      </c>
      <c r="H20" s="53">
        <f>SUMPRODUCT('M2M P&amp;L'!N6:Y6,'M2M P&amp;L'!N95:Y95)</f>
        <v>1205942.1100000001</v>
      </c>
      <c r="I20" s="53">
        <f>SUMPRODUCT('M2M P&amp;L'!B6:M6,'M2M P&amp;L'!B95:M95)</f>
        <v>1250189.1399999999</v>
      </c>
      <c r="J20" s="54">
        <f t="shared" si="8"/>
        <v>-44247.029999999795</v>
      </c>
      <c r="K20" s="56">
        <f t="shared" si="9"/>
        <v>-3.5392268725034516E-2</v>
      </c>
    </row>
    <row r="21" spans="2:11" x14ac:dyDescent="0.2">
      <c r="B21" s="41"/>
      <c r="C21" s="42" t="s">
        <v>107</v>
      </c>
      <c r="D21" s="48">
        <f ca="1">OFFSET('M2M P&amp;L'!M112,,'Financial Summary - Final'!A1,,)</f>
        <v>27912.77</v>
      </c>
      <c r="E21" s="48">
        <f ca="1">OFFSET('M2M P&amp;L'!A112,,'Financial Summary - Final'!A1,,)</f>
        <v>21926.06</v>
      </c>
      <c r="F21" s="49">
        <f t="shared" ca="1" si="6"/>
        <v>5986.7099999999991</v>
      </c>
      <c r="G21" s="50">
        <f t="shared" ca="1" si="7"/>
        <v>0.27304084728400813</v>
      </c>
      <c r="H21" s="48">
        <f>SUMPRODUCT('M2M P&amp;L'!N6:Y6,'M2M P&amp;L'!N112:Y112)</f>
        <v>167546.72999999998</v>
      </c>
      <c r="I21" s="48">
        <f>SUMPRODUCT('M2M P&amp;L'!B6:M6,'M2M P&amp;L'!B112:M112)</f>
        <v>145803.16999999998</v>
      </c>
      <c r="J21" s="49">
        <f t="shared" si="8"/>
        <v>21743.559999999998</v>
      </c>
      <c r="K21" s="51">
        <f t="shared" si="9"/>
        <v>0.14912954224520633</v>
      </c>
    </row>
    <row r="22" spans="2:11" x14ac:dyDescent="0.2">
      <c r="B22" s="44"/>
      <c r="C22" s="45" t="s">
        <v>120</v>
      </c>
      <c r="D22" s="53">
        <f ca="1">OFFSET('M2M P&amp;L'!M137,,'Financial Summary - Final'!A1,,)</f>
        <v>15442.76</v>
      </c>
      <c r="E22" s="53">
        <f ca="1">OFFSET('M2M P&amp;L'!A137,,'Financial Summary - Final'!A1,,)</f>
        <v>25545.5</v>
      </c>
      <c r="F22" s="54">
        <f t="shared" ca="1" si="6"/>
        <v>-10102.74</v>
      </c>
      <c r="G22" s="55">
        <f t="shared" ca="1" si="7"/>
        <v>-0.39548022156544205</v>
      </c>
      <c r="H22" s="53">
        <f>SUMPRODUCT('M2M P&amp;L'!N6:Y6,'M2M P&amp;L'!N137:Y137)</f>
        <v>210332.11000000002</v>
      </c>
      <c r="I22" s="53">
        <f>SUMPRODUCT('M2M P&amp;L'!B6:M6,'M2M P&amp;L'!B137:M137)</f>
        <v>219062.81</v>
      </c>
      <c r="J22" s="54">
        <f t="shared" si="8"/>
        <v>-8730.6999999999825</v>
      </c>
      <c r="K22" s="56">
        <f t="shared" si="9"/>
        <v>-3.9854779549299044E-2</v>
      </c>
    </row>
    <row r="23" spans="2:11" x14ac:dyDescent="0.2">
      <c r="B23" s="41"/>
      <c r="C23" s="42" t="s">
        <v>173</v>
      </c>
      <c r="D23" s="60">
        <f ca="1">SUM(D18:D22)</f>
        <v>524122.81984999997</v>
      </c>
      <c r="E23" s="60">
        <f ca="1">SUM(E18:E22)</f>
        <v>969355.73245000001</v>
      </c>
      <c r="F23" s="52">
        <f t="shared" ca="1" si="6"/>
        <v>-445232.91260000004</v>
      </c>
      <c r="G23" s="50">
        <f t="shared" ca="1" si="7"/>
        <v>-0.45930807204770457</v>
      </c>
      <c r="H23" s="60">
        <f>SUM(H18:H22)</f>
        <v>4605727.5550000006</v>
      </c>
      <c r="I23" s="60">
        <f>SUM(I18:I22)</f>
        <v>4904038.6334999995</v>
      </c>
      <c r="J23" s="52">
        <f t="shared" si="8"/>
        <v>-298311.0784999989</v>
      </c>
      <c r="K23" s="51">
        <f t="shared" si="9"/>
        <v>-6.0829675456103627E-2</v>
      </c>
    </row>
    <row r="24" spans="2:11" x14ac:dyDescent="0.2">
      <c r="B24" s="44"/>
      <c r="C24" s="45" t="s">
        <v>176</v>
      </c>
      <c r="D24" s="57">
        <f ca="1">(D23-D18)/D6</f>
        <v>70.632879308164732</v>
      </c>
      <c r="E24" s="57">
        <f ca="1">(E23-E18)/E6</f>
        <v>86.253097322636762</v>
      </c>
      <c r="F24" s="59">
        <f t="shared" ca="1" si="6"/>
        <v>-15.62021801447203</v>
      </c>
      <c r="G24" s="55">
        <f t="shared" ca="1" si="7"/>
        <v>-0.1810974735903492</v>
      </c>
      <c r="H24" s="57">
        <f>(H23-H18)/H6</f>
        <v>67.387238838365221</v>
      </c>
      <c r="I24" s="57">
        <f>(I23-I18)/I6</f>
        <v>67.371666490177859</v>
      </c>
      <c r="J24" s="58">
        <f t="shared" si="8"/>
        <v>1.5572348187362195E-2</v>
      </c>
      <c r="K24" s="56">
        <f t="shared" si="9"/>
        <v>2.3114090831688857E-4</v>
      </c>
    </row>
    <row r="25" spans="2:11" x14ac:dyDescent="0.2">
      <c r="B25" s="108"/>
      <c r="C25" s="109"/>
      <c r="D25" s="109"/>
      <c r="E25" s="109"/>
      <c r="F25" s="109"/>
      <c r="G25" s="109"/>
      <c r="H25" s="109"/>
      <c r="I25" s="109"/>
      <c r="J25" s="109"/>
      <c r="K25" s="110"/>
    </row>
    <row r="26" spans="2:11" ht="15.75" thickBot="1" x14ac:dyDescent="0.3">
      <c r="B26" s="94" t="s">
        <v>28</v>
      </c>
      <c r="C26" s="91"/>
      <c r="D26" s="92">
        <f ca="1">D13-D23</f>
        <v>189779.53015000001</v>
      </c>
      <c r="E26" s="92">
        <f ca="1">E13-E23</f>
        <v>-311490.67244999995</v>
      </c>
      <c r="F26" s="92">
        <f ca="1">D26-E26</f>
        <v>501270.20259999996</v>
      </c>
      <c r="G26" s="93">
        <f ca="1">F26/E26</f>
        <v>-1.6092623212673027</v>
      </c>
      <c r="H26" s="92">
        <f>H13-H23</f>
        <v>1359459.0649999995</v>
      </c>
      <c r="I26" s="92">
        <f>I13-I23</f>
        <v>1015647.4165000003</v>
      </c>
      <c r="J26" s="92">
        <f>H26-I26</f>
        <v>343811.6484999992</v>
      </c>
      <c r="K26" s="95">
        <f>J26/I26</f>
        <v>0.33851476695013</v>
      </c>
    </row>
    <row r="27" spans="2:11" ht="15" thickBot="1" x14ac:dyDescent="0.25">
      <c r="B27" s="111"/>
      <c r="C27" s="111"/>
      <c r="D27" s="111"/>
      <c r="E27" s="111"/>
      <c r="F27" s="111"/>
      <c r="G27" s="111"/>
      <c r="H27" s="111"/>
      <c r="I27" s="111"/>
      <c r="J27" s="111"/>
      <c r="K27" s="111"/>
    </row>
    <row r="28" spans="2:11" ht="15" x14ac:dyDescent="0.25">
      <c r="B28" s="105" t="s">
        <v>162</v>
      </c>
      <c r="C28" s="106"/>
      <c r="D28" s="106"/>
      <c r="E28" s="106"/>
      <c r="F28" s="106"/>
      <c r="G28" s="106"/>
      <c r="H28" s="106"/>
      <c r="I28" s="106"/>
      <c r="J28" s="106"/>
      <c r="K28" s="107"/>
    </row>
    <row r="29" spans="2:11" s="82" customFormat="1" ht="15" x14ac:dyDescent="0.25">
      <c r="B29" s="78"/>
      <c r="C29" s="90" t="s">
        <v>186</v>
      </c>
      <c r="D29" s="59">
        <f ca="1">OFFSET('M2M Balance Sheet'!M26,,'Financial Summary - Final'!$A$1,,)</f>
        <v>108338.04</v>
      </c>
      <c r="E29" s="53">
        <f ca="1">OFFSET('M2M Balance Sheet'!A26,,'Financial Summary - Final'!$A$1,,)</f>
        <v>13850.25</v>
      </c>
      <c r="F29" s="59">
        <f ca="1">D29-E29</f>
        <v>94487.79</v>
      </c>
      <c r="G29" s="55">
        <f ca="1">F29/E29</f>
        <v>6.8220999620945468</v>
      </c>
      <c r="H29" s="79"/>
      <c r="I29" s="79"/>
      <c r="J29" s="79"/>
      <c r="K29" s="80"/>
    </row>
    <row r="30" spans="2:11" s="82" customFormat="1" ht="15" x14ac:dyDescent="0.25">
      <c r="B30" s="75"/>
      <c r="C30" s="89" t="s">
        <v>188</v>
      </c>
      <c r="D30" s="52">
        <f ca="1">OFFSET('M2M Balance Sheet'!M45,,'Financial Summary - Final'!$A$1,,)</f>
        <v>80263.931000000011</v>
      </c>
      <c r="E30" s="48">
        <f ca="1">OFFSET('M2M Balance Sheet'!A45,,'Financial Summary - Final'!$A$1,,)</f>
        <v>6089.2480000000005</v>
      </c>
      <c r="F30" s="52">
        <f ca="1">D30-E30</f>
        <v>74174.683000000005</v>
      </c>
      <c r="G30" s="50">
        <f ca="1">F30/E30</f>
        <v>12.181255058095843</v>
      </c>
      <c r="H30" s="76"/>
      <c r="I30" s="76"/>
      <c r="J30" s="76"/>
      <c r="K30" s="77"/>
    </row>
    <row r="31" spans="2:11" x14ac:dyDescent="0.2">
      <c r="B31" s="44"/>
      <c r="C31" s="45" t="s">
        <v>163</v>
      </c>
      <c r="D31" s="59">
        <f ca="1">OFFSET('M2M Balance Sheet'!M16,,'Financial Summary - Final'!$A$1,,)</f>
        <v>558380.12999999896</v>
      </c>
      <c r="E31" s="53">
        <f ca="1">OFFSET('M2M Balance Sheet'!A16,,'Financial Summary - Final'!$A$1,,)</f>
        <v>487786.679999999</v>
      </c>
      <c r="F31" s="59">
        <f ca="1">D31-E31</f>
        <v>70593.449999999953</v>
      </c>
      <c r="G31" s="55">
        <f ca="1">F31/E31</f>
        <v>0.14472197149786889</v>
      </c>
      <c r="H31" s="45"/>
      <c r="I31" s="45"/>
      <c r="J31" s="45"/>
      <c r="K31" s="46"/>
    </row>
    <row r="32" spans="2:11" ht="15" thickBot="1" x14ac:dyDescent="0.25">
      <c r="B32" s="61"/>
      <c r="C32" s="62" t="s">
        <v>164</v>
      </c>
      <c r="D32" s="63">
        <f ca="1">OFFSET('M2M Balance Sheet'!M13,,'Financial Summary - Final'!A1,,)+OFFSET('M2M Balance Sheet'!M14,,'Financial Summary - Final'!A1,,)</f>
        <v>762575</v>
      </c>
      <c r="E32" s="63">
        <f ca="1">OFFSET('M2M Balance Sheet'!A13,,'Financial Summary - Final'!A1,,)+OFFSET('M2M Balance Sheet'!A14,,'Financial Summary - Final'!A1,,)</f>
        <v>465116.98</v>
      </c>
      <c r="F32" s="63">
        <f ca="1">D32-E32</f>
        <v>297458.02</v>
      </c>
      <c r="G32" s="64">
        <f ca="1">F32/E32</f>
        <v>0.6395337792225948</v>
      </c>
      <c r="H32" s="62"/>
      <c r="I32" s="62"/>
      <c r="J32" s="62"/>
      <c r="K32" s="65"/>
    </row>
    <row r="33" spans="1:10" ht="15" thickBot="1" x14ac:dyDescent="0.25"/>
    <row r="34" spans="1:10" ht="15.75" thickBot="1" x14ac:dyDescent="0.3">
      <c r="A34" s="84">
        <v>8.25</v>
      </c>
      <c r="B34" s="69" t="s">
        <v>177</v>
      </c>
      <c r="C34" s="66"/>
      <c r="D34" s="67" t="s">
        <v>187</v>
      </c>
      <c r="E34" s="68" t="s">
        <v>201</v>
      </c>
      <c r="G34" s="112" t="s">
        <v>198</v>
      </c>
      <c r="H34" s="113"/>
      <c r="I34" s="113"/>
      <c r="J34" s="114"/>
    </row>
    <row r="35" spans="1:10" ht="15" x14ac:dyDescent="0.25">
      <c r="B35" s="70" t="s">
        <v>169</v>
      </c>
      <c r="C35" s="42"/>
      <c r="D35" s="42"/>
      <c r="E35" s="43"/>
    </row>
    <row r="36" spans="1:10" x14ac:dyDescent="0.2">
      <c r="B36" s="44"/>
      <c r="C36" s="45" t="s">
        <v>182</v>
      </c>
      <c r="D36" s="54">
        <f>((H6/$A$1)*12)/$A$34</f>
        <v>7446.1414141414143</v>
      </c>
      <c r="E36" s="71">
        <v>6250</v>
      </c>
    </row>
    <row r="37" spans="1:10" x14ac:dyDescent="0.2">
      <c r="B37" s="41"/>
      <c r="C37" s="42"/>
      <c r="D37" s="42"/>
      <c r="E37" s="43"/>
    </row>
    <row r="38" spans="1:10" ht="15" x14ac:dyDescent="0.25">
      <c r="B38" s="47" t="s">
        <v>161</v>
      </c>
      <c r="C38" s="45"/>
      <c r="D38" s="45"/>
      <c r="E38" s="46"/>
    </row>
    <row r="39" spans="1:10" x14ac:dyDescent="0.2">
      <c r="B39" s="41"/>
      <c r="C39" s="42" t="s">
        <v>178</v>
      </c>
      <c r="D39" s="52">
        <f>((H13/$A$1)*12)/$A$34</f>
        <v>964070.56484848482</v>
      </c>
      <c r="E39" s="72">
        <v>760000</v>
      </c>
    </row>
    <row r="40" spans="1:10" x14ac:dyDescent="0.2">
      <c r="B40" s="44"/>
      <c r="C40" s="45"/>
      <c r="D40" s="45"/>
      <c r="E40" s="46"/>
    </row>
    <row r="41" spans="1:10" ht="15" x14ac:dyDescent="0.25">
      <c r="B41" s="70" t="s">
        <v>179</v>
      </c>
      <c r="C41" s="42"/>
      <c r="D41" s="42"/>
      <c r="E41" s="43"/>
    </row>
    <row r="42" spans="1:10" x14ac:dyDescent="0.2">
      <c r="B42" s="44"/>
      <c r="C42" s="45" t="s">
        <v>180</v>
      </c>
      <c r="D42" s="59">
        <f>(((H23-H18)/$A$1)*12)/$A$34</f>
        <v>501774.90989899001</v>
      </c>
      <c r="E42" s="73">
        <v>465000</v>
      </c>
    </row>
    <row r="43" spans="1:10" ht="15" thickBot="1" x14ac:dyDescent="0.25">
      <c r="B43" s="61"/>
      <c r="C43" s="62" t="s">
        <v>181</v>
      </c>
      <c r="D43" s="64">
        <f>D42/D39</f>
        <v>0.52047529319376107</v>
      </c>
      <c r="E43" s="74">
        <v>0.58589999999999998</v>
      </c>
    </row>
  </sheetData>
  <mergeCells count="11">
    <mergeCell ref="G34:J34"/>
    <mergeCell ref="B28:K28"/>
    <mergeCell ref="B1:K1"/>
    <mergeCell ref="B2:K2"/>
    <mergeCell ref="B7:K7"/>
    <mergeCell ref="B16:K16"/>
    <mergeCell ref="B25:K25"/>
    <mergeCell ref="B27:K27"/>
    <mergeCell ref="B17:K17"/>
    <mergeCell ref="B8:K8"/>
    <mergeCell ref="B5:K5"/>
  </mergeCells>
  <pageMargins left="0.7" right="0.7" top="0.75" bottom="0.75" header="0.3" footer="0.3"/>
  <pageSetup scale="73" orientation="landscape" horizontalDpi="4294967293" verticalDpi="0" r:id="rId1"/>
  <ignoredErrors>
    <ignoredError sqref="H9:I9 H6:I6 H10:H11 I10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Drop Down 6">
              <controlPr defaultSize="0" autoLine="0" autoPict="0">
                <anchor moveWithCells="1">
                  <from>
                    <xdr:col>11</xdr:col>
                    <xdr:colOff>180975</xdr:colOff>
                    <xdr:row>0</xdr:row>
                    <xdr:rowOff>123825</xdr:rowOff>
                  </from>
                  <to>
                    <xdr:col>12</xdr:col>
                    <xdr:colOff>28575</xdr:colOff>
                    <xdr:row>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Y7"/>
  <sheetViews>
    <sheetView topLeftCell="P1" zoomScale="150" zoomScaleNormal="150" workbookViewId="0">
      <selection activeCell="V4" sqref="V4"/>
    </sheetView>
  </sheetViews>
  <sheetFormatPr defaultRowHeight="14.25" x14ac:dyDescent="0.2"/>
  <cols>
    <col min="1" max="1" width="15.25" bestFit="1" customWidth="1"/>
    <col min="2" max="10" width="9.625" bestFit="1" customWidth="1"/>
    <col min="11" max="13" width="9.875" bestFit="1" customWidth="1"/>
    <col min="14" max="22" width="9.625" bestFit="1" customWidth="1"/>
    <col min="23" max="25" width="5.75" bestFit="1" customWidth="1"/>
  </cols>
  <sheetData>
    <row r="1" spans="1:25" x14ac:dyDescent="0.2">
      <c r="B1">
        <f>IF(B2&lt;='Financial Summary - Final'!$A$1,1,0)</f>
        <v>1</v>
      </c>
      <c r="C1">
        <f>IF(C2&lt;='Financial Summary - Final'!$A$1,1,0)</f>
        <v>1</v>
      </c>
      <c r="D1">
        <f>IF(D2&lt;='Financial Summary - Final'!$A$1,1,0)</f>
        <v>1</v>
      </c>
      <c r="E1">
        <f>IF(E2&lt;='Financial Summary - Final'!$A$1,1,0)</f>
        <v>1</v>
      </c>
      <c r="F1">
        <f>IF(F2&lt;='Financial Summary - Final'!$A$1,1,0)</f>
        <v>1</v>
      </c>
      <c r="G1">
        <f>IF(G2&lt;='Financial Summary - Final'!$A$1,1,0)</f>
        <v>1</v>
      </c>
      <c r="H1">
        <f>IF(H2&lt;='Financial Summary - Final'!$A$1,1,0)</f>
        <v>1</v>
      </c>
      <c r="I1">
        <f>IF(I2&lt;='Financial Summary - Final'!$A$1,1,0)</f>
        <v>1</v>
      </c>
      <c r="J1">
        <f>IF(J2&lt;='Financial Summary - Final'!$A$1,1,0)</f>
        <v>1</v>
      </c>
      <c r="K1">
        <f>IF(K2&lt;='Financial Summary - Final'!$A$1,1,0)</f>
        <v>0</v>
      </c>
      <c r="L1">
        <f>IF(L2&lt;='Financial Summary - Final'!$A$1,1,0)</f>
        <v>0</v>
      </c>
      <c r="M1">
        <f>IF(M2&lt;='Financial Summary - Final'!$A$1,1,0)</f>
        <v>0</v>
      </c>
      <c r="N1">
        <f>IF(N2&lt;='Financial Summary - Final'!$A$1,1,0)</f>
        <v>1</v>
      </c>
      <c r="O1">
        <f>IF(O2&lt;='Financial Summary - Final'!$A$1,1,0)</f>
        <v>1</v>
      </c>
      <c r="P1">
        <f>IF(P2&lt;='Financial Summary - Final'!$A$1,1,0)</f>
        <v>1</v>
      </c>
      <c r="Q1">
        <f>IF(Q2&lt;='Financial Summary - Final'!$A$1,1,0)</f>
        <v>1</v>
      </c>
      <c r="R1">
        <f>IF(R2&lt;='Financial Summary - Final'!$A$1,1,0)</f>
        <v>1</v>
      </c>
      <c r="S1">
        <f>IF(S2&lt;='Financial Summary - Final'!$A$1,1,0)</f>
        <v>1</v>
      </c>
      <c r="T1">
        <f>IF(T2&lt;='Financial Summary - Final'!$A$1,1,0)</f>
        <v>1</v>
      </c>
      <c r="U1">
        <f>IF(U2&lt;='Financial Summary - Final'!$A$1,1,0)</f>
        <v>1</v>
      </c>
      <c r="V1">
        <f>IF(V2&lt;='Financial Summary - Final'!$A$1,1,0)</f>
        <v>1</v>
      </c>
      <c r="W1">
        <f>IF(W2&lt;='Financial Summary - Final'!$A$1,1,0)</f>
        <v>0</v>
      </c>
      <c r="X1">
        <f>IF(X2&lt;='Financial Summary - Final'!$A$1,1,0)</f>
        <v>0</v>
      </c>
      <c r="Y1">
        <f>IF(Y2&lt;='Financial Summary - Final'!$A$1,1,0)</f>
        <v>0</v>
      </c>
    </row>
    <row r="2" spans="1:25" x14ac:dyDescent="0.2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</v>
      </c>
      <c r="O2">
        <v>2</v>
      </c>
      <c r="P2">
        <v>3</v>
      </c>
      <c r="Q2">
        <v>4</v>
      </c>
      <c r="R2">
        <v>5</v>
      </c>
      <c r="S2">
        <v>6</v>
      </c>
      <c r="T2">
        <v>7</v>
      </c>
      <c r="U2">
        <v>8</v>
      </c>
      <c r="V2">
        <v>9</v>
      </c>
      <c r="W2">
        <v>10</v>
      </c>
      <c r="X2">
        <v>11</v>
      </c>
      <c r="Y2">
        <v>12</v>
      </c>
    </row>
    <row r="3" spans="1:25" ht="15" x14ac:dyDescent="0.25">
      <c r="A3" t="s">
        <v>148</v>
      </c>
      <c r="B3" s="14">
        <v>42400</v>
      </c>
      <c r="C3" s="14">
        <v>42428</v>
      </c>
      <c r="D3" s="14">
        <v>42460</v>
      </c>
      <c r="E3" s="14">
        <v>42490</v>
      </c>
      <c r="F3" s="14">
        <v>42521</v>
      </c>
      <c r="G3" s="14">
        <v>42551</v>
      </c>
      <c r="H3" s="14">
        <v>42582</v>
      </c>
      <c r="I3" s="14">
        <v>42613</v>
      </c>
      <c r="J3" s="14">
        <v>42643</v>
      </c>
      <c r="K3" s="14">
        <v>42674</v>
      </c>
      <c r="L3" s="14">
        <v>42704</v>
      </c>
      <c r="M3" s="14">
        <v>42735</v>
      </c>
      <c r="N3" s="14">
        <v>42766</v>
      </c>
      <c r="O3" s="14">
        <v>42794</v>
      </c>
      <c r="P3" s="14">
        <v>42825</v>
      </c>
      <c r="Q3" s="14">
        <v>42855</v>
      </c>
      <c r="R3" s="14">
        <v>42886</v>
      </c>
      <c r="S3" s="14">
        <v>42916</v>
      </c>
      <c r="T3" s="14">
        <v>42947</v>
      </c>
      <c r="U3" s="14">
        <v>42978</v>
      </c>
      <c r="V3" s="14">
        <v>43008</v>
      </c>
    </row>
    <row r="4" spans="1:25" ht="15" x14ac:dyDescent="0.25">
      <c r="B4" s="13">
        <v>5835</v>
      </c>
      <c r="C4" s="13">
        <v>5161</v>
      </c>
      <c r="D4" s="13">
        <v>5110</v>
      </c>
      <c r="E4" s="13">
        <v>5049</v>
      </c>
      <c r="F4" s="13">
        <v>5071</v>
      </c>
      <c r="G4" s="13">
        <v>4378</v>
      </c>
      <c r="H4" s="13">
        <v>4984</v>
      </c>
      <c r="I4" s="13">
        <v>5512</v>
      </c>
      <c r="J4" s="13">
        <v>5173</v>
      </c>
      <c r="K4" s="13">
        <v>6170</v>
      </c>
      <c r="L4" s="13">
        <v>5092</v>
      </c>
      <c r="M4" s="13">
        <v>4522</v>
      </c>
      <c r="N4" s="13">
        <v>5335</v>
      </c>
      <c r="O4" s="13">
        <v>4877</v>
      </c>
      <c r="P4" s="13">
        <v>5067</v>
      </c>
      <c r="Q4" s="13">
        <v>5135</v>
      </c>
      <c r="R4" s="13">
        <v>4797</v>
      </c>
      <c r="S4" s="13">
        <v>4631</v>
      </c>
      <c r="T4" s="13">
        <v>5077</v>
      </c>
      <c r="U4" s="13">
        <v>5618</v>
      </c>
      <c r="V4" s="13">
        <v>5536</v>
      </c>
    </row>
    <row r="5" spans="1:25" x14ac:dyDescent="0.2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</row>
    <row r="6" spans="1:25" x14ac:dyDescent="0.2">
      <c r="A6" t="s">
        <v>161</v>
      </c>
      <c r="B6" s="36">
        <v>741045</v>
      </c>
      <c r="C6" s="36">
        <v>655447</v>
      </c>
      <c r="D6" s="36">
        <v>648970</v>
      </c>
      <c r="E6" s="36">
        <v>641223</v>
      </c>
      <c r="F6" s="36">
        <v>644017</v>
      </c>
      <c r="G6" s="36">
        <v>556006</v>
      </c>
      <c r="H6" s="36">
        <v>632968</v>
      </c>
      <c r="I6" s="36">
        <v>700024</v>
      </c>
      <c r="J6" s="36">
        <v>656971</v>
      </c>
      <c r="K6" s="36">
        <v>783590</v>
      </c>
      <c r="L6" s="36">
        <v>646684</v>
      </c>
      <c r="M6" s="36">
        <v>574294</v>
      </c>
      <c r="N6" s="36">
        <v>677545</v>
      </c>
      <c r="O6" s="36">
        <v>619379</v>
      </c>
      <c r="P6" s="36">
        <v>643509</v>
      </c>
      <c r="Q6" s="36">
        <v>652145</v>
      </c>
      <c r="R6" s="36">
        <v>609219</v>
      </c>
      <c r="S6" s="36">
        <v>588137</v>
      </c>
      <c r="T6" s="36">
        <v>644779</v>
      </c>
      <c r="U6" s="36">
        <v>713486</v>
      </c>
      <c r="V6" s="36">
        <v>703072</v>
      </c>
      <c r="W6" s="36"/>
      <c r="X6" s="36"/>
      <c r="Y6" s="36"/>
    </row>
    <row r="7" spans="1:25" x14ac:dyDescent="0.2"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:Z152"/>
  <sheetViews>
    <sheetView topLeftCell="U1" zoomScale="150" zoomScaleNormal="150" workbookViewId="0">
      <pane ySplit="8" topLeftCell="A9" activePane="bottomLeft" state="frozenSplit"/>
      <selection pane="bottomLeft" activeCell="Z9" sqref="Z9"/>
    </sheetView>
  </sheetViews>
  <sheetFormatPr defaultRowHeight="12.75" x14ac:dyDescent="0.2"/>
  <cols>
    <col min="1" max="1" width="30.625" style="1" customWidth="1"/>
    <col min="2" max="11" width="14.625" style="1" customWidth="1"/>
    <col min="12" max="13" width="13.625" style="1" customWidth="1"/>
    <col min="14" max="20" width="14.625" style="1" customWidth="1"/>
    <col min="21" max="25" width="13.625" style="1" customWidth="1"/>
    <col min="26" max="16384" width="9" style="1"/>
  </cols>
  <sheetData>
    <row r="1" spans="1:26" s="12" customFormat="1" ht="11.25" x14ac:dyDescent="0.2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26" x14ac:dyDescent="0.2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26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26" x14ac:dyDescent="0.2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26" x14ac:dyDescent="0.2">
      <c r="A5" s="128" t="s">
        <v>0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26" ht="14.25" x14ac:dyDescent="0.2">
      <c r="A6" s="37"/>
      <c r="B6">
        <f>IF(B7&lt;='Financial Summary - Final'!$A$1,1,0)</f>
        <v>1</v>
      </c>
      <c r="C6">
        <f>IF(C7&lt;='Financial Summary - Final'!$A$1,1,0)</f>
        <v>1</v>
      </c>
      <c r="D6">
        <f>IF(D7&lt;='Financial Summary - Final'!$A$1,1,0)</f>
        <v>1</v>
      </c>
      <c r="E6">
        <f>IF(E7&lt;='Financial Summary - Final'!$A$1,1,0)</f>
        <v>1</v>
      </c>
      <c r="F6">
        <f>IF(F7&lt;='Financial Summary - Final'!$A$1,1,0)</f>
        <v>1</v>
      </c>
      <c r="G6">
        <f>IF(G7&lt;='Financial Summary - Final'!$A$1,1,0)</f>
        <v>1</v>
      </c>
      <c r="H6">
        <f>IF(H7&lt;='Financial Summary - Final'!$A$1,1,0)</f>
        <v>1</v>
      </c>
      <c r="I6">
        <f>IF(I7&lt;='Financial Summary - Final'!$A$1,1,0)</f>
        <v>1</v>
      </c>
      <c r="J6">
        <f>IF(J7&lt;='Financial Summary - Final'!$A$1,1,0)</f>
        <v>1</v>
      </c>
      <c r="K6">
        <f>IF(K7&lt;='Financial Summary - Final'!$A$1,1,0)</f>
        <v>0</v>
      </c>
      <c r="L6">
        <f>IF(L7&lt;='Financial Summary - Final'!$A$1,1,0)</f>
        <v>0</v>
      </c>
      <c r="M6">
        <f>IF(M7&lt;='Financial Summary - Final'!$A$1,1,0)</f>
        <v>0</v>
      </c>
      <c r="N6">
        <f>IF(N7&lt;='Financial Summary - Final'!$A$1,1,0)</f>
        <v>1</v>
      </c>
      <c r="O6">
        <f>IF(O7&lt;='Financial Summary - Final'!$A$1,1,0)</f>
        <v>1</v>
      </c>
      <c r="P6">
        <f>IF(P7&lt;='Financial Summary - Final'!$A$1,1,0)</f>
        <v>1</v>
      </c>
      <c r="Q6">
        <f>IF(Q7&lt;='Financial Summary - Final'!$A$1,1,0)</f>
        <v>1</v>
      </c>
      <c r="R6">
        <f>IF(R7&lt;='Financial Summary - Final'!$A$1,1,0)</f>
        <v>1</v>
      </c>
      <c r="S6">
        <f>IF(S7&lt;='Financial Summary - Final'!$A$1,1,0)</f>
        <v>1</v>
      </c>
      <c r="T6">
        <f>IF(T7&lt;='Financial Summary - Final'!$A$1,1,0)</f>
        <v>1</v>
      </c>
      <c r="U6">
        <f>IF(U7&lt;='Financial Summary - Final'!$A$1,1,0)</f>
        <v>1</v>
      </c>
      <c r="V6">
        <f>IF(V7&lt;='Financial Summary - Final'!$A$1,1,0)</f>
        <v>1</v>
      </c>
      <c r="W6">
        <f>IF(W7&lt;='Financial Summary - Final'!$A$1,1,0)</f>
        <v>0</v>
      </c>
      <c r="X6">
        <f>IF(X7&lt;='Financial Summary - Final'!$A$1,1,0)</f>
        <v>0</v>
      </c>
      <c r="Y6">
        <f>IF(Y7&lt;='Financial Summary - Final'!$A$1,1,0)</f>
        <v>0</v>
      </c>
      <c r="Z6"/>
    </row>
    <row r="7" spans="1:26" s="39" customFormat="1" ht="14.25" x14ac:dyDescent="0.2">
      <c r="A7" s="38"/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J7">
        <v>9</v>
      </c>
      <c r="K7">
        <v>10</v>
      </c>
      <c r="L7">
        <v>11</v>
      </c>
      <c r="M7">
        <v>12</v>
      </c>
      <c r="N7">
        <v>1</v>
      </c>
      <c r="O7">
        <v>2</v>
      </c>
      <c r="P7">
        <v>3</v>
      </c>
      <c r="Q7">
        <v>4</v>
      </c>
      <c r="R7">
        <v>5</v>
      </c>
      <c r="S7">
        <v>6</v>
      </c>
      <c r="T7">
        <v>7</v>
      </c>
      <c r="U7">
        <v>8</v>
      </c>
      <c r="V7">
        <v>9</v>
      </c>
      <c r="W7">
        <v>10</v>
      </c>
      <c r="X7">
        <v>11</v>
      </c>
      <c r="Y7">
        <v>12</v>
      </c>
      <c r="Z7"/>
    </row>
    <row r="8" spans="1:26" s="33" customFormat="1" ht="25.5" x14ac:dyDescent="0.2">
      <c r="A8" s="32" t="s">
        <v>31</v>
      </c>
      <c r="B8" s="32">
        <v>42400</v>
      </c>
      <c r="C8" s="32">
        <v>42428</v>
      </c>
      <c r="D8" s="32">
        <v>42460</v>
      </c>
      <c r="E8" s="32">
        <v>42490</v>
      </c>
      <c r="F8" s="32">
        <v>42521</v>
      </c>
      <c r="G8" s="32">
        <v>42551</v>
      </c>
      <c r="H8" s="32">
        <v>42582</v>
      </c>
      <c r="I8" s="32">
        <v>42613</v>
      </c>
      <c r="J8" s="32">
        <v>42643</v>
      </c>
      <c r="K8" s="32">
        <v>42674</v>
      </c>
      <c r="L8" s="32">
        <v>42704</v>
      </c>
      <c r="M8" s="32">
        <v>42735</v>
      </c>
      <c r="N8" s="32">
        <v>42766</v>
      </c>
      <c r="O8" s="32">
        <v>42794</v>
      </c>
      <c r="P8" s="32">
        <v>42825</v>
      </c>
      <c r="Q8" s="32">
        <v>42855</v>
      </c>
      <c r="R8" s="32">
        <v>42886</v>
      </c>
      <c r="S8" s="32">
        <v>42916</v>
      </c>
      <c r="T8" s="32">
        <v>42947</v>
      </c>
      <c r="U8" s="32">
        <v>42978</v>
      </c>
      <c r="V8" s="32">
        <v>43008</v>
      </c>
      <c r="W8" s="32">
        <v>43039</v>
      </c>
      <c r="X8" s="32">
        <v>43069</v>
      </c>
      <c r="Y8" s="32">
        <v>43100</v>
      </c>
    </row>
    <row r="9" spans="1:26" x14ac:dyDescent="0.2">
      <c r="A9" s="3" t="s">
        <v>32</v>
      </c>
    </row>
    <row r="10" spans="1:26" x14ac:dyDescent="0.2">
      <c r="A10" s="3" t="s">
        <v>33</v>
      </c>
      <c r="B10" s="5">
        <v>951678.31000000017</v>
      </c>
      <c r="C10" s="5">
        <v>815046.32000000018</v>
      </c>
      <c r="D10" s="5">
        <v>871734.21500000008</v>
      </c>
      <c r="E10" s="5">
        <v>900252.10000000021</v>
      </c>
      <c r="F10" s="5">
        <v>907149.70500000007</v>
      </c>
      <c r="G10" s="5">
        <v>813375.31000000017</v>
      </c>
      <c r="H10" s="5">
        <v>983331.91000000015</v>
      </c>
      <c r="I10" s="5">
        <v>1098188.1350000002</v>
      </c>
      <c r="J10" s="5">
        <v>902800.36000000022</v>
      </c>
      <c r="K10" s="5">
        <v>1062271.1000000003</v>
      </c>
      <c r="L10" s="5">
        <v>867372.77000000014</v>
      </c>
      <c r="M10" s="5">
        <v>783831.95000000007</v>
      </c>
      <c r="N10" s="5">
        <v>929210.01360000018</v>
      </c>
      <c r="O10" s="5">
        <v>847990.38500000013</v>
      </c>
      <c r="P10" s="5">
        <v>877893.7200000002</v>
      </c>
      <c r="Q10" s="5">
        <v>906550.15000000026</v>
      </c>
      <c r="R10" s="5">
        <v>799361.69500000018</v>
      </c>
      <c r="S10" s="5">
        <v>635097.54</v>
      </c>
      <c r="T10" s="5">
        <v>1234055.4413000003</v>
      </c>
      <c r="U10" s="5">
        <v>1241745.5600000003</v>
      </c>
      <c r="V10" s="5">
        <v>1027087.9300000002</v>
      </c>
      <c r="W10" s="4"/>
      <c r="X10" s="4"/>
      <c r="Y10" s="4"/>
    </row>
    <row r="11" spans="1:26" x14ac:dyDescent="0.2">
      <c r="A11" s="3" t="s">
        <v>34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/>
      <c r="X11" s="5"/>
      <c r="Y11" s="5"/>
    </row>
    <row r="12" spans="1:26" x14ac:dyDescent="0.2">
      <c r="A12" s="3" t="s">
        <v>35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/>
      <c r="X12" s="5"/>
      <c r="Y12" s="5"/>
    </row>
    <row r="13" spans="1:26" x14ac:dyDescent="0.2">
      <c r="A13" s="3" t="s">
        <v>36</v>
      </c>
      <c r="B13" s="5">
        <f>-B10*0.25</f>
        <v>-237919.57750000004</v>
      </c>
      <c r="C13" s="5">
        <f t="shared" ref="C13:V13" si="0">-C10*0.25</f>
        <v>-203761.58000000005</v>
      </c>
      <c r="D13" s="5">
        <f t="shared" si="0"/>
        <v>-217933.55375000002</v>
      </c>
      <c r="E13" s="5">
        <f t="shared" si="0"/>
        <v>-225063.02500000005</v>
      </c>
      <c r="F13" s="5">
        <f t="shared" si="0"/>
        <v>-226787.42625000002</v>
      </c>
      <c r="G13" s="5">
        <f t="shared" si="0"/>
        <v>-203343.82750000004</v>
      </c>
      <c r="H13" s="5">
        <f t="shared" si="0"/>
        <v>-245832.97750000004</v>
      </c>
      <c r="I13" s="5">
        <f t="shared" si="0"/>
        <v>-274547.03375000006</v>
      </c>
      <c r="J13" s="5">
        <f t="shared" si="0"/>
        <v>-225700.09000000005</v>
      </c>
      <c r="K13" s="5">
        <f t="shared" si="0"/>
        <v>-265567.77500000008</v>
      </c>
      <c r="L13" s="5">
        <f t="shared" si="0"/>
        <v>-216843.19250000003</v>
      </c>
      <c r="M13" s="5">
        <f t="shared" si="0"/>
        <v>-195957.98750000002</v>
      </c>
      <c r="N13" s="5">
        <f t="shared" si="0"/>
        <v>-232302.50340000005</v>
      </c>
      <c r="O13" s="5">
        <f t="shared" si="0"/>
        <v>-211997.59625000003</v>
      </c>
      <c r="P13" s="5">
        <f t="shared" si="0"/>
        <v>-219473.43000000005</v>
      </c>
      <c r="Q13" s="5">
        <f t="shared" si="0"/>
        <v>-226637.53750000006</v>
      </c>
      <c r="R13" s="5">
        <f t="shared" si="0"/>
        <v>-199840.42375000005</v>
      </c>
      <c r="S13" s="5">
        <f t="shared" si="0"/>
        <v>-158774.38500000001</v>
      </c>
      <c r="T13" s="5">
        <f t="shared" si="0"/>
        <v>-308513.86032500007</v>
      </c>
      <c r="U13" s="5">
        <f t="shared" si="0"/>
        <v>-310436.39000000007</v>
      </c>
      <c r="V13" s="5">
        <f t="shared" si="0"/>
        <v>-256771.98250000004</v>
      </c>
      <c r="W13" s="5"/>
      <c r="X13" s="5"/>
      <c r="Y13" s="5"/>
    </row>
    <row r="14" spans="1:26" customFormat="1" ht="14.25" x14ac:dyDescent="0.2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6" x14ac:dyDescent="0.2">
      <c r="A15" s="3" t="s">
        <v>0</v>
      </c>
      <c r="B15" s="5">
        <f t="shared" ref="B15:V15" si="1">ROUND(SUBTOTAL(9, B9:B14), 5)</f>
        <v>713758.73250000004</v>
      </c>
      <c r="C15" s="5">
        <f t="shared" si="1"/>
        <v>611284.74</v>
      </c>
      <c r="D15" s="5">
        <f t="shared" si="1"/>
        <v>653800.66125</v>
      </c>
      <c r="E15" s="5">
        <f t="shared" si="1"/>
        <v>675189.07499999995</v>
      </c>
      <c r="F15" s="5">
        <f t="shared" si="1"/>
        <v>680362.27875000006</v>
      </c>
      <c r="G15" s="5">
        <f t="shared" si="1"/>
        <v>610031.48250000004</v>
      </c>
      <c r="H15" s="5">
        <f t="shared" si="1"/>
        <v>737498.9325</v>
      </c>
      <c r="I15" s="5">
        <f t="shared" si="1"/>
        <v>823641.10124999995</v>
      </c>
      <c r="J15" s="5">
        <f t="shared" si="1"/>
        <v>677100.27</v>
      </c>
      <c r="K15" s="5">
        <f t="shared" si="1"/>
        <v>796703.32499999995</v>
      </c>
      <c r="L15" s="5">
        <f t="shared" si="1"/>
        <v>650529.57750000001</v>
      </c>
      <c r="M15" s="5">
        <f t="shared" si="1"/>
        <v>587873.96250000002</v>
      </c>
      <c r="N15" s="5">
        <f t="shared" si="1"/>
        <v>696907.51020000002</v>
      </c>
      <c r="O15" s="5">
        <f t="shared" si="1"/>
        <v>635992.78874999995</v>
      </c>
      <c r="P15" s="5">
        <f t="shared" si="1"/>
        <v>658420.29</v>
      </c>
      <c r="Q15" s="5">
        <f t="shared" si="1"/>
        <v>679912.61250000005</v>
      </c>
      <c r="R15" s="5">
        <f t="shared" si="1"/>
        <v>599521.27124999999</v>
      </c>
      <c r="S15" s="5">
        <f t="shared" si="1"/>
        <v>476323.15500000003</v>
      </c>
      <c r="T15" s="5">
        <f t="shared" si="1"/>
        <v>925541.58097999997</v>
      </c>
      <c r="U15" s="5">
        <f t="shared" si="1"/>
        <v>931309.17</v>
      </c>
      <c r="V15" s="5">
        <f t="shared" si="1"/>
        <v>770315.94750000001</v>
      </c>
      <c r="W15" s="5"/>
      <c r="X15" s="5"/>
      <c r="Y15" s="5"/>
    </row>
    <row r="16" spans="1:26" customFormat="1" ht="14.25" x14ac:dyDescent="0.2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x14ac:dyDescent="0.2">
      <c r="A17" s="11" t="s">
        <v>0</v>
      </c>
    </row>
    <row r="18" spans="1:25" x14ac:dyDescent="0.2">
      <c r="A18" s="11" t="s">
        <v>0</v>
      </c>
    </row>
    <row r="19" spans="1:25" x14ac:dyDescent="0.2">
      <c r="A19" s="3" t="s">
        <v>37</v>
      </c>
    </row>
    <row r="20" spans="1:25" x14ac:dyDescent="0.2">
      <c r="A20" s="3" t="s">
        <v>38</v>
      </c>
    </row>
    <row r="21" spans="1:25" x14ac:dyDescent="0.2">
      <c r="A21" s="3" t="s">
        <v>39</v>
      </c>
    </row>
    <row r="22" spans="1:25" x14ac:dyDescent="0.2">
      <c r="A22" s="3" t="s">
        <v>40</v>
      </c>
      <c r="B22" s="5">
        <v>95412.22</v>
      </c>
      <c r="C22" s="5">
        <v>95412.22</v>
      </c>
      <c r="D22" s="5">
        <v>95412.22</v>
      </c>
      <c r="E22" s="5">
        <v>251238.42</v>
      </c>
      <c r="F22" s="5">
        <v>95412.22</v>
      </c>
      <c r="G22" s="5">
        <v>102984.66</v>
      </c>
      <c r="H22" s="5">
        <v>102384.66</v>
      </c>
      <c r="I22" s="5">
        <v>118884.66</v>
      </c>
      <c r="J22" s="5">
        <v>476076.99</v>
      </c>
      <c r="K22" s="5">
        <v>95412.22</v>
      </c>
      <c r="L22" s="5">
        <v>462914.85</v>
      </c>
      <c r="M22" s="5">
        <v>462384.67</v>
      </c>
      <c r="N22" s="5">
        <v>95412.22</v>
      </c>
      <c r="O22" s="5">
        <v>95412.22</v>
      </c>
      <c r="P22" s="5">
        <v>131076.99</v>
      </c>
      <c r="Q22" s="5">
        <v>95412.22</v>
      </c>
      <c r="R22" s="5">
        <v>95412.22</v>
      </c>
      <c r="S22" s="5">
        <v>95412.22</v>
      </c>
      <c r="T22" s="5">
        <v>95412.22</v>
      </c>
      <c r="U22" s="5">
        <v>357246.51</v>
      </c>
      <c r="V22" s="5">
        <v>95412.22</v>
      </c>
      <c r="W22" s="5"/>
      <c r="X22" s="5"/>
      <c r="Y22" s="5"/>
    </row>
    <row r="23" spans="1:25" x14ac:dyDescent="0.2">
      <c r="A23" s="3" t="s">
        <v>41</v>
      </c>
      <c r="B23" s="5">
        <v>14383.8</v>
      </c>
      <c r="C23" s="5">
        <v>25122.5</v>
      </c>
      <c r="D23" s="5">
        <v>21810.92</v>
      </c>
      <c r="E23" s="5">
        <v>55289.33</v>
      </c>
      <c r="F23" s="5">
        <v>20688.04</v>
      </c>
      <c r="G23" s="5">
        <v>20688.04</v>
      </c>
      <c r="H23" s="5">
        <v>20688.04</v>
      </c>
      <c r="I23" s="5">
        <v>24314.04</v>
      </c>
      <c r="J23" s="5">
        <v>31032.06</v>
      </c>
      <c r="K23" s="5">
        <v>20688.04</v>
      </c>
      <c r="L23" s="5">
        <v>20688.04</v>
      </c>
      <c r="M23" s="5">
        <v>24438.04</v>
      </c>
      <c r="N23" s="5">
        <v>21308.68</v>
      </c>
      <c r="O23" s="5">
        <v>21308.68</v>
      </c>
      <c r="P23" s="5">
        <v>31963.02</v>
      </c>
      <c r="Q23" s="5">
        <v>21308.68</v>
      </c>
      <c r="R23" s="5">
        <v>26017.68</v>
      </c>
      <c r="S23" s="5">
        <v>21308.68</v>
      </c>
      <c r="T23" s="5">
        <v>21308.68</v>
      </c>
      <c r="U23" s="5">
        <v>31597.599999999999</v>
      </c>
      <c r="V23" s="5">
        <v>21016.34</v>
      </c>
      <c r="W23" s="5"/>
      <c r="X23" s="5"/>
      <c r="Y23" s="5"/>
    </row>
    <row r="24" spans="1:25" x14ac:dyDescent="0.2">
      <c r="A24" s="3" t="s">
        <v>42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/>
      <c r="X24" s="5"/>
      <c r="Y24" s="5"/>
    </row>
    <row r="25" spans="1:25" x14ac:dyDescent="0.2">
      <c r="A25" s="3" t="s">
        <v>43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/>
      <c r="X25" s="5"/>
      <c r="Y25" s="5"/>
    </row>
    <row r="26" spans="1:25" x14ac:dyDescent="0.2">
      <c r="A26" s="3" t="s">
        <v>44</v>
      </c>
      <c r="B26" s="5">
        <v>10000</v>
      </c>
      <c r="C26" s="5">
        <v>10000</v>
      </c>
      <c r="D26" s="5">
        <v>10000</v>
      </c>
      <c r="E26" s="5">
        <v>10000</v>
      </c>
      <c r="F26" s="5">
        <v>10000</v>
      </c>
      <c r="G26" s="5">
        <v>10000</v>
      </c>
      <c r="H26" s="5">
        <v>10000</v>
      </c>
      <c r="I26" s="5">
        <v>10000</v>
      </c>
      <c r="J26" s="5">
        <v>10000</v>
      </c>
      <c r="K26" s="5">
        <v>10000</v>
      </c>
      <c r="L26" s="5">
        <v>10000</v>
      </c>
      <c r="M26" s="5">
        <v>11000</v>
      </c>
      <c r="N26" s="5">
        <v>11000</v>
      </c>
      <c r="O26" s="5">
        <v>11000</v>
      </c>
      <c r="P26" s="5">
        <v>11000</v>
      </c>
      <c r="Q26" s="5">
        <v>11000</v>
      </c>
      <c r="R26" s="5">
        <v>11000</v>
      </c>
      <c r="S26" s="5">
        <v>11000</v>
      </c>
      <c r="T26" s="5">
        <v>11000</v>
      </c>
      <c r="U26" s="5">
        <v>11000</v>
      </c>
      <c r="V26" s="5">
        <v>11000</v>
      </c>
      <c r="W26" s="5"/>
      <c r="X26" s="5"/>
      <c r="Y26" s="5"/>
    </row>
    <row r="27" spans="1:25" x14ac:dyDescent="0.2">
      <c r="A27" s="3" t="s">
        <v>45</v>
      </c>
      <c r="B27" s="5">
        <v>1052.1199999999999</v>
      </c>
      <c r="C27" s="5">
        <v>1052.1199999999999</v>
      </c>
      <c r="D27" s="5">
        <v>1052.1199999999999</v>
      </c>
      <c r="E27" s="5">
        <v>1052.1199999999999</v>
      </c>
      <c r="F27" s="5">
        <v>1052.1199999999999</v>
      </c>
      <c r="G27" s="5">
        <v>1052.1199999999999</v>
      </c>
      <c r="H27" s="5">
        <v>1052.1199999999999</v>
      </c>
      <c r="I27" s="5">
        <v>1052.1099999999999</v>
      </c>
      <c r="J27" s="5">
        <v>1052.1199999999999</v>
      </c>
      <c r="K27" s="5">
        <v>1052.1199999999999</v>
      </c>
      <c r="L27" s="5">
        <v>526.05999999999995</v>
      </c>
      <c r="M27" s="5">
        <v>574.16999999999996</v>
      </c>
      <c r="N27" s="5">
        <v>574.16999999999996</v>
      </c>
      <c r="O27" s="5">
        <v>574.16999999999996</v>
      </c>
      <c r="P27" s="5">
        <v>574.16999999999996</v>
      </c>
      <c r="Q27" s="5">
        <v>574.16999999999996</v>
      </c>
      <c r="R27" s="5">
        <v>574.16999999999996</v>
      </c>
      <c r="S27" s="5">
        <v>574.16999999999996</v>
      </c>
      <c r="T27" s="5">
        <v>574.16999999999996</v>
      </c>
      <c r="U27" s="5">
        <v>574.16999999999996</v>
      </c>
      <c r="V27" s="5">
        <v>574.16999999999996</v>
      </c>
      <c r="W27" s="5"/>
      <c r="X27" s="5"/>
      <c r="Y27" s="5"/>
    </row>
    <row r="28" spans="1:25" x14ac:dyDescent="0.2">
      <c r="A28" s="3" t="s">
        <v>46</v>
      </c>
      <c r="B28" s="5">
        <v>525.36</v>
      </c>
      <c r="C28" s="5">
        <v>525.36</v>
      </c>
      <c r="D28" s="5">
        <v>525.36</v>
      </c>
      <c r="E28" s="5">
        <v>525.36</v>
      </c>
      <c r="F28" s="5">
        <v>525.36</v>
      </c>
      <c r="G28" s="5">
        <v>525.36</v>
      </c>
      <c r="H28" s="5">
        <v>525.36</v>
      </c>
      <c r="I28" s="5">
        <v>525.36</v>
      </c>
      <c r="J28" s="5">
        <v>525.36</v>
      </c>
      <c r="K28" s="5">
        <v>0</v>
      </c>
      <c r="L28" s="5">
        <v>1050.72</v>
      </c>
      <c r="M28" s="5">
        <v>525.36</v>
      </c>
      <c r="N28" s="5">
        <v>525.36</v>
      </c>
      <c r="O28" s="5">
        <v>525.36</v>
      </c>
      <c r="P28" s="5">
        <v>525.36</v>
      </c>
      <c r="Q28" s="5">
        <v>525.36</v>
      </c>
      <c r="R28" s="5">
        <v>525.36</v>
      </c>
      <c r="S28" s="5">
        <v>525.36</v>
      </c>
      <c r="T28" s="5">
        <v>525.36</v>
      </c>
      <c r="U28" s="5">
        <v>525.36</v>
      </c>
      <c r="V28" s="5">
        <v>525.36</v>
      </c>
      <c r="W28" s="5"/>
      <c r="X28" s="5"/>
      <c r="Y28" s="5"/>
    </row>
    <row r="29" spans="1:25" x14ac:dyDescent="0.2">
      <c r="A29" s="3" t="s">
        <v>47</v>
      </c>
      <c r="B29" s="5">
        <v>132.58000000000001</v>
      </c>
      <c r="C29" s="5">
        <v>132.58000000000001</v>
      </c>
      <c r="D29" s="5">
        <v>132.58000000000001</v>
      </c>
      <c r="E29" s="5">
        <v>132.58000000000001</v>
      </c>
      <c r="F29" s="5">
        <v>132.58000000000001</v>
      </c>
      <c r="G29" s="5">
        <v>132.58000000000001</v>
      </c>
      <c r="H29" s="5">
        <v>132.58000000000001</v>
      </c>
      <c r="I29" s="5">
        <v>132.58000000000001</v>
      </c>
      <c r="J29" s="5">
        <v>132.58000000000001</v>
      </c>
      <c r="K29" s="5">
        <v>0</v>
      </c>
      <c r="L29" s="5">
        <v>265.16000000000003</v>
      </c>
      <c r="M29" s="5">
        <v>132.58000000000001</v>
      </c>
      <c r="N29" s="5">
        <v>132.58000000000001</v>
      </c>
      <c r="O29" s="5">
        <v>132.58000000000001</v>
      </c>
      <c r="P29" s="5">
        <v>132.58000000000001</v>
      </c>
      <c r="Q29" s="5">
        <v>132.58000000000001</v>
      </c>
      <c r="R29" s="5">
        <v>132.58000000000001</v>
      </c>
      <c r="S29" s="5">
        <v>132.58000000000001</v>
      </c>
      <c r="T29" s="5">
        <v>132.58000000000001</v>
      </c>
      <c r="U29" s="5">
        <v>132.58000000000001</v>
      </c>
      <c r="V29" s="5">
        <v>132.58000000000001</v>
      </c>
      <c r="W29" s="5"/>
      <c r="X29" s="5"/>
      <c r="Y29" s="5"/>
    </row>
    <row r="30" spans="1:25" x14ac:dyDescent="0.2">
      <c r="A30" s="3" t="s">
        <v>48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/>
      <c r="X30" s="5"/>
      <c r="Y30" s="5"/>
    </row>
    <row r="31" spans="1:25" x14ac:dyDescent="0.2">
      <c r="A31" s="3" t="s">
        <v>49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/>
      <c r="X31" s="5"/>
      <c r="Y31" s="5"/>
    </row>
    <row r="32" spans="1:25" x14ac:dyDescent="0.2">
      <c r="A32" s="3" t="s">
        <v>50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/>
      <c r="X32" s="5"/>
      <c r="Y32" s="5"/>
    </row>
    <row r="33" spans="1:25" x14ac:dyDescent="0.2">
      <c r="A33" s="3" t="s">
        <v>51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/>
      <c r="X33" s="5"/>
      <c r="Y33" s="5"/>
    </row>
    <row r="34" spans="1:25" x14ac:dyDescent="0.2">
      <c r="A34" s="3" t="s">
        <v>52</v>
      </c>
      <c r="B34" s="5">
        <v>0</v>
      </c>
      <c r="C34" s="5">
        <v>829</v>
      </c>
      <c r="D34" s="5">
        <v>0</v>
      </c>
      <c r="E34" s="5">
        <v>165</v>
      </c>
      <c r="F34" s="5">
        <v>53</v>
      </c>
      <c r="G34" s="5">
        <v>0</v>
      </c>
      <c r="H34" s="5">
        <v>0</v>
      </c>
      <c r="I34" s="5">
        <v>449</v>
      </c>
      <c r="J34" s="5">
        <v>337</v>
      </c>
      <c r="K34" s="5">
        <v>343.95</v>
      </c>
      <c r="L34" s="5">
        <v>0</v>
      </c>
      <c r="M34" s="5">
        <v>0</v>
      </c>
      <c r="N34" s="5">
        <v>0</v>
      </c>
      <c r="O34" s="5">
        <v>0</v>
      </c>
      <c r="P34" s="5">
        <v>138.9</v>
      </c>
      <c r="Q34" s="5">
        <v>924.79</v>
      </c>
      <c r="R34" s="5">
        <v>0</v>
      </c>
      <c r="S34" s="5">
        <v>1064.01</v>
      </c>
      <c r="T34" s="5">
        <v>320</v>
      </c>
      <c r="U34" s="5">
        <v>1145</v>
      </c>
      <c r="V34" s="5">
        <v>200</v>
      </c>
      <c r="W34" s="5"/>
      <c r="X34" s="5"/>
      <c r="Y34" s="5"/>
    </row>
    <row r="35" spans="1:25" x14ac:dyDescent="0.2">
      <c r="A35" s="3" t="s">
        <v>53</v>
      </c>
      <c r="B35" s="5">
        <v>0</v>
      </c>
      <c r="C35" s="5">
        <v>0</v>
      </c>
      <c r="D35" s="5">
        <v>154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/>
      <c r="X35" s="5"/>
      <c r="Y35" s="5"/>
    </row>
    <row r="36" spans="1:25" x14ac:dyDescent="0.2">
      <c r="A36" s="3" t="s">
        <v>54</v>
      </c>
      <c r="B36" s="5">
        <v>1490</v>
      </c>
      <c r="C36" s="5">
        <v>0</v>
      </c>
      <c r="D36" s="5">
        <v>1438</v>
      </c>
      <c r="E36" s="5">
        <v>0</v>
      </c>
      <c r="F36" s="5">
        <v>0</v>
      </c>
      <c r="G36" s="5">
        <v>745</v>
      </c>
      <c r="H36" s="5">
        <v>660</v>
      </c>
      <c r="I36" s="5">
        <v>240</v>
      </c>
      <c r="J36" s="5">
        <v>0</v>
      </c>
      <c r="K36" s="5">
        <v>795</v>
      </c>
      <c r="L36" s="5">
        <v>0</v>
      </c>
      <c r="M36" s="5">
        <v>1412</v>
      </c>
      <c r="N36" s="5">
        <v>620</v>
      </c>
      <c r="O36" s="5">
        <v>0</v>
      </c>
      <c r="P36" s="5">
        <v>1733</v>
      </c>
      <c r="Q36" s="5">
        <v>0</v>
      </c>
      <c r="R36" s="5">
        <v>640</v>
      </c>
      <c r="S36" s="5">
        <v>0</v>
      </c>
      <c r="T36" s="5">
        <v>3799</v>
      </c>
      <c r="U36" s="5">
        <v>640</v>
      </c>
      <c r="V36" s="5">
        <v>4108.53</v>
      </c>
      <c r="W36" s="5"/>
      <c r="X36" s="5"/>
      <c r="Y36" s="5"/>
    </row>
    <row r="37" spans="1:25" x14ac:dyDescent="0.2">
      <c r="A37" s="3" t="s">
        <v>55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275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700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906</v>
      </c>
      <c r="V37" s="5">
        <v>130</v>
      </c>
      <c r="W37" s="5"/>
      <c r="X37" s="5"/>
      <c r="Y37" s="5"/>
    </row>
    <row r="38" spans="1:25" x14ac:dyDescent="0.2">
      <c r="A38" s="3" t="s">
        <v>56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3076.59</v>
      </c>
      <c r="J38" s="5">
        <v>2864.82</v>
      </c>
      <c r="K38" s="5">
        <v>0</v>
      </c>
      <c r="L38" s="5">
        <v>296.73</v>
      </c>
      <c r="M38" s="5">
        <v>831.42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/>
      <c r="X38" s="5"/>
      <c r="Y38" s="5"/>
    </row>
    <row r="39" spans="1:25" x14ac:dyDescent="0.2">
      <c r="A39" s="3" t="s">
        <v>57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1147.53</v>
      </c>
      <c r="K39" s="5">
        <v>0</v>
      </c>
      <c r="L39" s="5">
        <v>0</v>
      </c>
      <c r="M39" s="5">
        <v>0</v>
      </c>
      <c r="N39" s="5">
        <v>490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/>
      <c r="X39" s="5"/>
      <c r="Y39" s="5"/>
    </row>
    <row r="40" spans="1:25" x14ac:dyDescent="0.2">
      <c r="A40" s="3" t="s">
        <v>58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/>
      <c r="X40" s="5"/>
      <c r="Y40" s="5"/>
    </row>
    <row r="41" spans="1:25" customFormat="1" ht="14.25" x14ac:dyDescent="0.2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x14ac:dyDescent="0.2">
      <c r="A42" s="3" t="s">
        <v>59</v>
      </c>
      <c r="B42" s="5">
        <f t="shared" ref="B42:V42" si="2">ROUND(SUBTOTAL(9, B17:B41), 5)</f>
        <v>122996.08</v>
      </c>
      <c r="C42" s="5">
        <f t="shared" si="2"/>
        <v>133073.78</v>
      </c>
      <c r="D42" s="5">
        <f t="shared" si="2"/>
        <v>130525.2</v>
      </c>
      <c r="E42" s="5">
        <f t="shared" si="2"/>
        <v>318402.81</v>
      </c>
      <c r="F42" s="5">
        <f t="shared" si="2"/>
        <v>127863.32</v>
      </c>
      <c r="G42" s="5">
        <f t="shared" si="2"/>
        <v>136127.76</v>
      </c>
      <c r="H42" s="5">
        <f t="shared" si="2"/>
        <v>135717.76000000001</v>
      </c>
      <c r="I42" s="5">
        <f t="shared" si="2"/>
        <v>158674.34</v>
      </c>
      <c r="J42" s="5">
        <f t="shared" si="2"/>
        <v>523168.46</v>
      </c>
      <c r="K42" s="5">
        <f t="shared" si="2"/>
        <v>128291.33</v>
      </c>
      <c r="L42" s="5">
        <f t="shared" si="2"/>
        <v>495741.56</v>
      </c>
      <c r="M42" s="5">
        <f t="shared" si="2"/>
        <v>501298.24</v>
      </c>
      <c r="N42" s="5">
        <f t="shared" si="2"/>
        <v>130763.01</v>
      </c>
      <c r="O42" s="5">
        <f t="shared" si="2"/>
        <v>128953.01</v>
      </c>
      <c r="P42" s="5">
        <f t="shared" si="2"/>
        <v>177144.02</v>
      </c>
      <c r="Q42" s="5">
        <f t="shared" si="2"/>
        <v>129877.8</v>
      </c>
      <c r="R42" s="5">
        <f t="shared" si="2"/>
        <v>134302.01</v>
      </c>
      <c r="S42" s="5">
        <f t="shared" si="2"/>
        <v>130017.02</v>
      </c>
      <c r="T42" s="5">
        <f t="shared" si="2"/>
        <v>133072.01</v>
      </c>
      <c r="U42" s="5">
        <f t="shared" si="2"/>
        <v>403767.22</v>
      </c>
      <c r="V42" s="5">
        <f t="shared" si="2"/>
        <v>133099.20000000001</v>
      </c>
      <c r="W42" s="5"/>
      <c r="X42" s="5"/>
      <c r="Y42" s="5"/>
    </row>
    <row r="43" spans="1:25" customFormat="1" ht="14.25" x14ac:dyDescent="0.2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x14ac:dyDescent="0.2">
      <c r="A44" s="3" t="s">
        <v>60</v>
      </c>
      <c r="B44" s="5">
        <v>9245.8379999999997</v>
      </c>
      <c r="C44" s="5">
        <v>9392.3024999999998</v>
      </c>
      <c r="D44" s="5">
        <v>9109.6110000000008</v>
      </c>
      <c r="E44" s="5">
        <v>13953.6075</v>
      </c>
      <c r="F44" s="5">
        <v>8758.7114999999994</v>
      </c>
      <c r="G44" s="5">
        <v>8740.0110000000004</v>
      </c>
      <c r="H44" s="5">
        <v>9218.012999999999</v>
      </c>
      <c r="I44" s="5">
        <v>10018.1235</v>
      </c>
      <c r="J44" s="5">
        <v>15546.3945</v>
      </c>
      <c r="K44" s="5">
        <v>10507.906500000001</v>
      </c>
      <c r="L44" s="5">
        <v>12801.054</v>
      </c>
      <c r="M44" s="5">
        <v>10779.173999999999</v>
      </c>
      <c r="N44" s="5">
        <v>10808.868</v>
      </c>
      <c r="O44" s="5">
        <v>10624.288500000001</v>
      </c>
      <c r="P44" s="5">
        <v>12741.655500000001</v>
      </c>
      <c r="Q44" s="5">
        <v>5247.7425000000003</v>
      </c>
      <c r="R44" s="5">
        <v>5032.1460000000006</v>
      </c>
      <c r="S44" s="5">
        <v>5207.6954999999998</v>
      </c>
      <c r="T44" s="5">
        <v>6494.817</v>
      </c>
      <c r="U44" s="5">
        <v>13202.9205</v>
      </c>
      <c r="V44" s="5">
        <v>5355.4305000000004</v>
      </c>
      <c r="W44" s="5"/>
      <c r="X44" s="5"/>
      <c r="Y44" s="5"/>
    </row>
    <row r="45" spans="1:25" x14ac:dyDescent="0.2">
      <c r="A45" s="3" t="s">
        <v>61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/>
      <c r="X45" s="5"/>
      <c r="Y45" s="5"/>
    </row>
    <row r="46" spans="1:25" x14ac:dyDescent="0.2">
      <c r="A46" s="3" t="s">
        <v>62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/>
      <c r="X46" s="5"/>
      <c r="Y46" s="5"/>
    </row>
    <row r="47" spans="1:25" x14ac:dyDescent="0.2">
      <c r="A47" s="3" t="s">
        <v>63</v>
      </c>
      <c r="B47" s="5">
        <v>25774.392800000001</v>
      </c>
      <c r="C47" s="5">
        <v>28365.490399999999</v>
      </c>
      <c r="D47" s="5">
        <v>28209.948</v>
      </c>
      <c r="E47" s="5">
        <v>41133.705600000001</v>
      </c>
      <c r="F47" s="5">
        <v>25053.849600000001</v>
      </c>
      <c r="G47" s="5">
        <v>25210.328000000001</v>
      </c>
      <c r="H47" s="5">
        <v>26145.714400000001</v>
      </c>
      <c r="I47" s="5">
        <v>27086.997599999999</v>
      </c>
      <c r="J47" s="5">
        <v>41517.819200000005</v>
      </c>
      <c r="K47" s="5">
        <v>27786.335200000001</v>
      </c>
      <c r="L47" s="5">
        <v>29108.7264</v>
      </c>
      <c r="M47" s="5">
        <v>26767.977599999998</v>
      </c>
      <c r="N47" s="5">
        <v>27763.153600000001</v>
      </c>
      <c r="O47" s="5">
        <v>29207.183200000003</v>
      </c>
      <c r="P47" s="5">
        <v>44758.355199999998</v>
      </c>
      <c r="Q47" s="5">
        <v>28307.364799999999</v>
      </c>
      <c r="R47" s="5">
        <v>26399.994400000003</v>
      </c>
      <c r="S47" s="5">
        <v>27458.464800000002</v>
      </c>
      <c r="T47" s="5">
        <v>26875.004000000001</v>
      </c>
      <c r="U47" s="5">
        <v>42165.614399999999</v>
      </c>
      <c r="V47" s="5">
        <v>27920.3184</v>
      </c>
      <c r="W47" s="5"/>
      <c r="X47" s="5"/>
      <c r="Y47" s="5"/>
    </row>
    <row r="48" spans="1:25" x14ac:dyDescent="0.2">
      <c r="A48" s="3" t="s">
        <v>64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/>
      <c r="X48" s="5"/>
      <c r="Y48" s="5"/>
    </row>
    <row r="49" spans="1:25" x14ac:dyDescent="0.2">
      <c r="A49" s="3" t="s">
        <v>65</v>
      </c>
      <c r="B49" s="5">
        <v>59037.887999999999</v>
      </c>
      <c r="C49" s="5">
        <v>62309.196000000004</v>
      </c>
      <c r="D49" s="5">
        <v>61529.573500000006</v>
      </c>
      <c r="E49" s="5">
        <v>80469.271800000017</v>
      </c>
      <c r="F49" s="5">
        <v>53275.385000000002</v>
      </c>
      <c r="G49" s="5">
        <v>55089.046900000008</v>
      </c>
      <c r="H49" s="5">
        <v>54760.401000000005</v>
      </c>
      <c r="I49" s="5">
        <v>53831.339500000009</v>
      </c>
      <c r="J49" s="5">
        <v>82010.597200000004</v>
      </c>
      <c r="K49" s="5">
        <v>54139.199100000005</v>
      </c>
      <c r="L49" s="5">
        <v>59096.573600000003</v>
      </c>
      <c r="M49" s="5">
        <v>50623.415000000001</v>
      </c>
      <c r="N49" s="5">
        <v>53038.887699999999</v>
      </c>
      <c r="O49" s="5">
        <v>53476.108500000002</v>
      </c>
      <c r="P49" s="5">
        <v>79764.848400000003</v>
      </c>
      <c r="Q49" s="5">
        <v>56141.223900000005</v>
      </c>
      <c r="R49" s="5">
        <v>57426.126799999998</v>
      </c>
      <c r="S49" s="5">
        <v>59572.783700000007</v>
      </c>
      <c r="T49" s="5">
        <v>60360.788300000007</v>
      </c>
      <c r="U49" s="5">
        <v>88340.608699999997</v>
      </c>
      <c r="V49" s="5">
        <v>56341.304300000003</v>
      </c>
      <c r="W49" s="5"/>
      <c r="X49" s="5"/>
      <c r="Y49" s="5"/>
    </row>
    <row r="50" spans="1:25" x14ac:dyDescent="0.2">
      <c r="A50" s="3" t="s">
        <v>66</v>
      </c>
      <c r="B50" s="5">
        <v>10721.3215</v>
      </c>
      <c r="C50" s="5">
        <v>10707.200200000001</v>
      </c>
      <c r="D50" s="5">
        <v>11792.6348</v>
      </c>
      <c r="E50" s="5">
        <v>16750.107199999999</v>
      </c>
      <c r="F50" s="5">
        <v>10644.0509</v>
      </c>
      <c r="G50" s="5">
        <v>11460.1096</v>
      </c>
      <c r="H50" s="5">
        <v>10976.957200000001</v>
      </c>
      <c r="I50" s="5">
        <v>11882.780400000001</v>
      </c>
      <c r="J50" s="5">
        <v>17234.577999999998</v>
      </c>
      <c r="K50" s="5">
        <v>9246.7013999999999</v>
      </c>
      <c r="L50" s="5">
        <v>14417.2808</v>
      </c>
      <c r="M50" s="5">
        <v>20203.347000000002</v>
      </c>
      <c r="N50" s="5">
        <v>10675.95</v>
      </c>
      <c r="O50" s="5">
        <v>12494.1163</v>
      </c>
      <c r="P50" s="5">
        <v>30054.987999999998</v>
      </c>
      <c r="Q50" s="5">
        <v>16030.961200000002</v>
      </c>
      <c r="R50" s="5">
        <v>14590.753400000001</v>
      </c>
      <c r="S50" s="5">
        <v>14857.4925</v>
      </c>
      <c r="T50" s="5">
        <v>14653.7894</v>
      </c>
      <c r="U50" s="5">
        <v>22175.766100000001</v>
      </c>
      <c r="V50" s="5">
        <v>15330.509700000001</v>
      </c>
      <c r="W50" s="5"/>
      <c r="X50" s="5"/>
      <c r="Y50" s="5"/>
    </row>
    <row r="51" spans="1:25" x14ac:dyDescent="0.2">
      <c r="A51" s="3" t="s">
        <v>67</v>
      </c>
      <c r="B51" s="5">
        <v>18782.154450000002</v>
      </c>
      <c r="C51" s="5">
        <v>18192.620449999999</v>
      </c>
      <c r="D51" s="5">
        <v>18368.06695</v>
      </c>
      <c r="E51" s="5">
        <v>25461.88695</v>
      </c>
      <c r="F51" s="5">
        <v>13156.21925</v>
      </c>
      <c r="G51" s="5">
        <v>17389.037499999999</v>
      </c>
      <c r="H51" s="5">
        <v>15768.810699999998</v>
      </c>
      <c r="I51" s="5">
        <v>15716.946899999999</v>
      </c>
      <c r="J51" s="5">
        <v>37691.573550000001</v>
      </c>
      <c r="K51" s="5">
        <v>11258.601299999998</v>
      </c>
      <c r="L51" s="5">
        <v>19907.617899999997</v>
      </c>
      <c r="M51" s="5">
        <v>18012.458099999996</v>
      </c>
      <c r="N51" s="5">
        <v>19471.480899999999</v>
      </c>
      <c r="O51" s="5">
        <v>18461.56105</v>
      </c>
      <c r="P51" s="5">
        <v>27452.450399999998</v>
      </c>
      <c r="Q51" s="5">
        <v>17259.842199999999</v>
      </c>
      <c r="R51" s="5">
        <v>17101.18075</v>
      </c>
      <c r="S51" s="5">
        <v>16338.246949999999</v>
      </c>
      <c r="T51" s="5">
        <v>15804.817849999999</v>
      </c>
      <c r="U51" s="5">
        <v>30807.424249999996</v>
      </c>
      <c r="V51" s="5">
        <v>13749.276949999999</v>
      </c>
      <c r="W51" s="5"/>
      <c r="X51" s="5"/>
      <c r="Y51" s="5"/>
    </row>
    <row r="52" spans="1:25" x14ac:dyDescent="0.2">
      <c r="A52" s="3" t="s">
        <v>68</v>
      </c>
      <c r="B52" s="5">
        <v>0</v>
      </c>
      <c r="C52" s="5">
        <v>850.28</v>
      </c>
      <c r="D52" s="5">
        <v>0</v>
      </c>
      <c r="E52" s="5">
        <v>761.28</v>
      </c>
      <c r="F52" s="5">
        <v>0</v>
      </c>
      <c r="G52" s="5">
        <v>768.28</v>
      </c>
      <c r="H52" s="5">
        <v>761.28</v>
      </c>
      <c r="I52" s="5">
        <v>761.28</v>
      </c>
      <c r="J52" s="5">
        <v>768.28</v>
      </c>
      <c r="K52" s="5">
        <v>768.28</v>
      </c>
      <c r="L52" s="5">
        <v>0</v>
      </c>
      <c r="M52" s="5">
        <v>761.2</v>
      </c>
      <c r="N52" s="5">
        <v>760.18</v>
      </c>
      <c r="O52" s="5">
        <v>760.38</v>
      </c>
      <c r="P52" s="5">
        <v>760.38</v>
      </c>
      <c r="Q52" s="5">
        <v>831.3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/>
      <c r="X52" s="5"/>
      <c r="Y52" s="5"/>
    </row>
    <row r="53" spans="1:25" x14ac:dyDescent="0.2">
      <c r="A53" s="3" t="s">
        <v>69</v>
      </c>
      <c r="B53" s="5">
        <v>0</v>
      </c>
      <c r="C53" s="5">
        <v>0</v>
      </c>
      <c r="D53" s="5">
        <v>0</v>
      </c>
      <c r="E53" s="5">
        <v>96.5</v>
      </c>
      <c r="F53" s="5">
        <v>0</v>
      </c>
      <c r="G53" s="5">
        <v>0</v>
      </c>
      <c r="H53" s="5">
        <v>170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96.5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/>
      <c r="X53" s="5"/>
      <c r="Y53" s="5"/>
    </row>
    <row r="54" spans="1:25" x14ac:dyDescent="0.2">
      <c r="A54" s="3" t="s">
        <v>70</v>
      </c>
      <c r="B54" s="5">
        <v>7937.14</v>
      </c>
      <c r="C54" s="5">
        <v>5482.61</v>
      </c>
      <c r="D54" s="5">
        <v>6534.73</v>
      </c>
      <c r="E54" s="5">
        <v>3602.03</v>
      </c>
      <c r="F54" s="5">
        <v>5706.83</v>
      </c>
      <c r="G54" s="5">
        <v>6232.89</v>
      </c>
      <c r="H54" s="5">
        <v>5053.45</v>
      </c>
      <c r="I54" s="5">
        <v>4703.17</v>
      </c>
      <c r="J54" s="5">
        <v>3440.79</v>
      </c>
      <c r="K54" s="5">
        <v>5755.28</v>
      </c>
      <c r="L54" s="5">
        <v>5979.5</v>
      </c>
      <c r="M54" s="5">
        <v>8371.5499999999993</v>
      </c>
      <c r="N54" s="5">
        <v>5330.88</v>
      </c>
      <c r="O54" s="5">
        <v>6096.89</v>
      </c>
      <c r="P54" s="5">
        <v>3274.82</v>
      </c>
      <c r="Q54" s="5">
        <v>6656.77</v>
      </c>
      <c r="R54" s="5">
        <v>4551.93</v>
      </c>
      <c r="S54" s="5">
        <v>6461.7</v>
      </c>
      <c r="T54" s="5">
        <v>5555.49</v>
      </c>
      <c r="U54" s="5">
        <v>4928.49</v>
      </c>
      <c r="V54" s="5">
        <v>3020.27</v>
      </c>
      <c r="W54" s="5"/>
      <c r="X54" s="5"/>
      <c r="Y54" s="5"/>
    </row>
    <row r="55" spans="1:25" x14ac:dyDescent="0.2">
      <c r="A55" s="3" t="s">
        <v>71</v>
      </c>
      <c r="B55" s="5">
        <v>633.95000000000005</v>
      </c>
      <c r="C55" s="5">
        <v>615.45000000000005</v>
      </c>
      <c r="D55" s="5">
        <v>552.27</v>
      </c>
      <c r="E55" s="5">
        <v>354.08</v>
      </c>
      <c r="F55" s="5">
        <v>320.55</v>
      </c>
      <c r="G55" s="5">
        <v>481.8</v>
      </c>
      <c r="H55" s="5">
        <v>481.8</v>
      </c>
      <c r="I55" s="5">
        <v>643.87</v>
      </c>
      <c r="J55" s="5">
        <v>54.21</v>
      </c>
      <c r="K55" s="5">
        <v>-399.32</v>
      </c>
      <c r="L55" s="5">
        <v>1230.51</v>
      </c>
      <c r="M55" s="5">
        <v>356.91</v>
      </c>
      <c r="N55" s="5">
        <v>416.81</v>
      </c>
      <c r="O55" s="5">
        <v>485.31</v>
      </c>
      <c r="P55" s="5">
        <v>330.5</v>
      </c>
      <c r="Q55" s="5">
        <v>490.8</v>
      </c>
      <c r="R55" s="5">
        <v>252.21</v>
      </c>
      <c r="S55" s="5">
        <v>390.44</v>
      </c>
      <c r="T55" s="5">
        <v>436.82</v>
      </c>
      <c r="U55" s="5">
        <v>271.61</v>
      </c>
      <c r="V55" s="5">
        <v>448.38</v>
      </c>
      <c r="W55" s="5"/>
      <c r="X55" s="5"/>
      <c r="Y55" s="5"/>
    </row>
    <row r="56" spans="1:25" x14ac:dyDescent="0.2">
      <c r="A56" s="3" t="s">
        <v>72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/>
      <c r="X56" s="5"/>
      <c r="Y56" s="5"/>
    </row>
    <row r="57" spans="1:25" x14ac:dyDescent="0.2">
      <c r="A57" s="3" t="s">
        <v>73</v>
      </c>
      <c r="B57" s="5">
        <v>3053.02</v>
      </c>
      <c r="C57" s="5">
        <v>3077.92</v>
      </c>
      <c r="D57" s="5">
        <v>3275.83</v>
      </c>
      <c r="E57" s="5">
        <v>4863.21</v>
      </c>
      <c r="F57" s="5">
        <v>2106.7600000000002</v>
      </c>
      <c r="G57" s="5">
        <v>3710.14</v>
      </c>
      <c r="H57" s="5">
        <v>3692.14</v>
      </c>
      <c r="I57" s="5">
        <v>4296.5200000000004</v>
      </c>
      <c r="J57" s="5">
        <v>15213</v>
      </c>
      <c r="K57" s="5">
        <v>3150.1</v>
      </c>
      <c r="L57" s="5">
        <v>11918.95</v>
      </c>
      <c r="M57" s="5">
        <v>10706.77</v>
      </c>
      <c r="N57" s="5">
        <v>3260.8</v>
      </c>
      <c r="O57" s="5">
        <v>3260.8</v>
      </c>
      <c r="P57" s="5">
        <v>4891.2</v>
      </c>
      <c r="Q57" s="5">
        <v>3260.8</v>
      </c>
      <c r="R57" s="5">
        <v>3402.07</v>
      </c>
      <c r="S57" s="5">
        <v>3291.98</v>
      </c>
      <c r="T57" s="5">
        <v>3260.8</v>
      </c>
      <c r="U57" s="5">
        <v>8433.6299999999992</v>
      </c>
      <c r="V57" s="5">
        <v>3252.02</v>
      </c>
      <c r="W57" s="5"/>
      <c r="X57" s="5"/>
      <c r="Y57" s="5"/>
    </row>
    <row r="58" spans="1:25" x14ac:dyDescent="0.2">
      <c r="A58" s="3" t="s">
        <v>74</v>
      </c>
      <c r="B58" s="5">
        <v>2801.39</v>
      </c>
      <c r="C58" s="5">
        <v>2986.49</v>
      </c>
      <c r="D58" s="5">
        <v>3033.07</v>
      </c>
      <c r="E58" s="5">
        <v>4161.51</v>
      </c>
      <c r="F58" s="5">
        <v>2688.99</v>
      </c>
      <c r="G58" s="5">
        <v>2798.58</v>
      </c>
      <c r="H58" s="5">
        <v>2764.05</v>
      </c>
      <c r="I58" s="5">
        <v>2700.98</v>
      </c>
      <c r="J58" s="5">
        <v>3990.99</v>
      </c>
      <c r="K58" s="5">
        <v>2721.81</v>
      </c>
      <c r="L58" s="5">
        <v>5628.03</v>
      </c>
      <c r="M58" s="5">
        <v>448.39</v>
      </c>
      <c r="N58" s="5">
        <v>2561.2399999999998</v>
      </c>
      <c r="O58" s="5">
        <v>2589.67</v>
      </c>
      <c r="P58" s="5">
        <v>4028.49</v>
      </c>
      <c r="Q58" s="5">
        <v>2533.65</v>
      </c>
      <c r="R58" s="5">
        <v>2634.63</v>
      </c>
      <c r="S58" s="5">
        <v>2689.71</v>
      </c>
      <c r="T58" s="5">
        <v>2756.55</v>
      </c>
      <c r="U58" s="5">
        <v>4313.0600000000004</v>
      </c>
      <c r="V58" s="5">
        <v>2686.11</v>
      </c>
      <c r="W58" s="5"/>
      <c r="X58" s="5"/>
      <c r="Y58" s="5"/>
    </row>
    <row r="59" spans="1:25" x14ac:dyDescent="0.2">
      <c r="A59" s="3" t="s">
        <v>75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/>
      <c r="X59" s="5"/>
      <c r="Y59" s="5"/>
    </row>
    <row r="60" spans="1:25" x14ac:dyDescent="0.2">
      <c r="A60" s="3" t="s">
        <v>76</v>
      </c>
      <c r="B60" s="5">
        <v>17000</v>
      </c>
      <c r="C60" s="5">
        <v>17000</v>
      </c>
      <c r="D60" s="5">
        <v>17000</v>
      </c>
      <c r="E60" s="5">
        <v>17000</v>
      </c>
      <c r="F60" s="5">
        <v>17000</v>
      </c>
      <c r="G60" s="5">
        <v>17000</v>
      </c>
      <c r="H60" s="5">
        <v>17000</v>
      </c>
      <c r="I60" s="5">
        <v>17000</v>
      </c>
      <c r="J60" s="5">
        <v>17000</v>
      </c>
      <c r="K60" s="5">
        <v>17000</v>
      </c>
      <c r="L60" s="5">
        <v>52368</v>
      </c>
      <c r="M60" s="5">
        <v>6654.68</v>
      </c>
      <c r="N60" s="5">
        <v>17250</v>
      </c>
      <c r="O60" s="5">
        <v>17250</v>
      </c>
      <c r="P60" s="5">
        <v>17250</v>
      </c>
      <c r="Q60" s="5">
        <v>17250</v>
      </c>
      <c r="R60" s="5">
        <v>17250</v>
      </c>
      <c r="S60" s="5">
        <v>17250</v>
      </c>
      <c r="T60" s="5">
        <v>17250</v>
      </c>
      <c r="U60" s="5">
        <v>17250</v>
      </c>
      <c r="V60" s="5">
        <v>17250</v>
      </c>
      <c r="W60" s="5"/>
      <c r="X60" s="5"/>
      <c r="Y60" s="5"/>
    </row>
    <row r="61" spans="1:25" x14ac:dyDescent="0.2">
      <c r="A61" s="3" t="s">
        <v>77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/>
      <c r="X61" s="5"/>
      <c r="Y61" s="5"/>
    </row>
    <row r="62" spans="1:25" x14ac:dyDescent="0.2">
      <c r="A62" s="3" t="s">
        <v>78</v>
      </c>
      <c r="B62" s="5">
        <v>0</v>
      </c>
      <c r="C62" s="5">
        <v>0</v>
      </c>
      <c r="D62" s="5">
        <v>1700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595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/>
      <c r="X62" s="5"/>
      <c r="Y62" s="5"/>
    </row>
    <row r="63" spans="1:25" x14ac:dyDescent="0.2">
      <c r="A63" s="3" t="s">
        <v>79</v>
      </c>
      <c r="B63" s="5">
        <v>365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281</v>
      </c>
      <c r="Q63" s="5">
        <v>0</v>
      </c>
      <c r="R63" s="5">
        <v>0</v>
      </c>
      <c r="S63" s="5">
        <v>0</v>
      </c>
      <c r="T63" s="5">
        <v>225</v>
      </c>
      <c r="U63" s="5">
        <v>909.93</v>
      </c>
      <c r="V63" s="5">
        <v>0</v>
      </c>
      <c r="W63" s="5"/>
      <c r="X63" s="5"/>
      <c r="Y63" s="5"/>
    </row>
    <row r="64" spans="1:25" x14ac:dyDescent="0.2">
      <c r="A64" s="3" t="s">
        <v>80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895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590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/>
      <c r="X64" s="5"/>
      <c r="Y64" s="5"/>
    </row>
    <row r="65" spans="1:25" x14ac:dyDescent="0.2">
      <c r="A65" s="3" t="s">
        <v>81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/>
      <c r="X65" s="5"/>
      <c r="Y65" s="5"/>
    </row>
    <row r="66" spans="1:25" customFormat="1" ht="14.25" x14ac:dyDescent="0.2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x14ac:dyDescent="0.2">
      <c r="A67" s="3" t="s">
        <v>0</v>
      </c>
      <c r="B67" s="5">
        <f>ROUND(SUBTOTAL(9, B44:B66), 5)</f>
        <v>155352.09474999999</v>
      </c>
      <c r="C67" s="5">
        <f t="shared" ref="C67:V67" si="3">ROUND(SUBTOTAL(9, C44:C66), 5)</f>
        <v>158979.55955000001</v>
      </c>
      <c r="D67" s="5">
        <f t="shared" si="3"/>
        <v>161105.73425000001</v>
      </c>
      <c r="E67" s="5">
        <f t="shared" si="3"/>
        <v>208607.18904999999</v>
      </c>
      <c r="F67" s="5">
        <f t="shared" si="3"/>
        <v>138711.34625</v>
      </c>
      <c r="G67" s="5">
        <f t="shared" si="3"/>
        <v>148880.223</v>
      </c>
      <c r="H67" s="5">
        <f t="shared" si="3"/>
        <v>147687.61629999999</v>
      </c>
      <c r="I67" s="5">
        <f t="shared" si="3"/>
        <v>148642.0079</v>
      </c>
      <c r="J67" s="5">
        <f t="shared" si="3"/>
        <v>234468.23245000001</v>
      </c>
      <c r="K67" s="5">
        <f t="shared" si="3"/>
        <v>141934.89350000001</v>
      </c>
      <c r="L67" s="5">
        <f t="shared" si="3"/>
        <v>212456.2427</v>
      </c>
      <c r="M67" s="5">
        <f t="shared" si="3"/>
        <v>153685.87169999999</v>
      </c>
      <c r="N67" s="5">
        <f t="shared" si="3"/>
        <v>151338.25020000001</v>
      </c>
      <c r="O67" s="5">
        <f t="shared" si="3"/>
        <v>155296.30755</v>
      </c>
      <c r="P67" s="5">
        <f t="shared" si="3"/>
        <v>226183.6875</v>
      </c>
      <c r="Q67" s="5">
        <f t="shared" si="3"/>
        <v>154106.9546</v>
      </c>
      <c r="R67" s="5">
        <f t="shared" si="3"/>
        <v>148641.04135000001</v>
      </c>
      <c r="S67" s="5">
        <f t="shared" si="3"/>
        <v>153518.51345</v>
      </c>
      <c r="T67" s="5">
        <f t="shared" si="3"/>
        <v>153673.87654999999</v>
      </c>
      <c r="U67" s="5">
        <f t="shared" si="3"/>
        <v>232799.05395</v>
      </c>
      <c r="V67" s="5">
        <f t="shared" si="3"/>
        <v>145353.61984999999</v>
      </c>
      <c r="W67" s="5"/>
      <c r="X67" s="5"/>
      <c r="Y67" s="5"/>
    </row>
    <row r="68" spans="1:25" customFormat="1" ht="14.25" x14ac:dyDescent="0.2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x14ac:dyDescent="0.2">
      <c r="A69" s="3" t="s">
        <v>82</v>
      </c>
    </row>
    <row r="70" spans="1:25" x14ac:dyDescent="0.2">
      <c r="A70" s="3" t="s">
        <v>83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/>
      <c r="X70" s="5"/>
      <c r="Y70" s="5"/>
    </row>
    <row r="71" spans="1:25" x14ac:dyDescent="0.2">
      <c r="A71" s="3" t="s">
        <v>84</v>
      </c>
      <c r="B71" s="5">
        <v>1400.65</v>
      </c>
      <c r="C71" s="5">
        <v>86155.23</v>
      </c>
      <c r="D71" s="5">
        <v>43552.92</v>
      </c>
      <c r="E71" s="5">
        <v>88664.09</v>
      </c>
      <c r="F71" s="5">
        <v>77611.37</v>
      </c>
      <c r="G71" s="5">
        <v>107220.43</v>
      </c>
      <c r="H71" s="5">
        <v>68709.84</v>
      </c>
      <c r="I71" s="5">
        <v>116185.69</v>
      </c>
      <c r="J71" s="5">
        <v>95713.81</v>
      </c>
      <c r="K71" s="5">
        <v>89124.36</v>
      </c>
      <c r="L71" s="5">
        <v>36952.35</v>
      </c>
      <c r="M71" s="5">
        <v>92527.49</v>
      </c>
      <c r="N71" s="5">
        <v>26768.97</v>
      </c>
      <c r="O71" s="5">
        <v>50846.51</v>
      </c>
      <c r="P71" s="5">
        <v>82390.27</v>
      </c>
      <c r="Q71" s="5">
        <v>70566.64</v>
      </c>
      <c r="R71" s="5">
        <v>41968.15</v>
      </c>
      <c r="S71" s="5">
        <v>68694</v>
      </c>
      <c r="T71" s="5">
        <v>45822.49</v>
      </c>
      <c r="U71" s="5">
        <v>113876.3</v>
      </c>
      <c r="V71" s="5">
        <v>133362.23000000001</v>
      </c>
      <c r="W71" s="5"/>
      <c r="X71" s="5"/>
      <c r="Y71" s="5"/>
    </row>
    <row r="72" spans="1:25" x14ac:dyDescent="0.2">
      <c r="A72" s="3" t="s">
        <v>85</v>
      </c>
      <c r="B72" s="5">
        <v>6882.23</v>
      </c>
      <c r="C72" s="5">
        <v>11617.59</v>
      </c>
      <c r="D72" s="5">
        <v>6223.78</v>
      </c>
      <c r="E72" s="5">
        <v>9677.34</v>
      </c>
      <c r="F72" s="5">
        <v>3474.61</v>
      </c>
      <c r="G72" s="5">
        <v>7804.69</v>
      </c>
      <c r="H72" s="5">
        <v>10276.35</v>
      </c>
      <c r="I72" s="5">
        <v>7323.53</v>
      </c>
      <c r="J72" s="5">
        <v>12237.06</v>
      </c>
      <c r="K72" s="5">
        <v>8936.7800000000007</v>
      </c>
      <c r="L72" s="5">
        <v>10930.96</v>
      </c>
      <c r="M72" s="5">
        <v>7044.97</v>
      </c>
      <c r="N72" s="5">
        <v>5425.35</v>
      </c>
      <c r="O72" s="5">
        <v>14425.85</v>
      </c>
      <c r="P72" s="5">
        <v>7974.58</v>
      </c>
      <c r="Q72" s="5">
        <v>9671.7000000000007</v>
      </c>
      <c r="R72" s="5">
        <v>12852.08</v>
      </c>
      <c r="S72" s="5">
        <v>8170.47</v>
      </c>
      <c r="T72" s="5">
        <v>9167.24</v>
      </c>
      <c r="U72" s="5">
        <v>10383.93</v>
      </c>
      <c r="V72" s="5">
        <v>13243.94</v>
      </c>
      <c r="W72" s="5"/>
      <c r="X72" s="5"/>
      <c r="Y72" s="5"/>
    </row>
    <row r="73" spans="1:25" x14ac:dyDescent="0.2">
      <c r="A73" s="3" t="s">
        <v>86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/>
      <c r="X73" s="5"/>
      <c r="Y73" s="5"/>
    </row>
    <row r="74" spans="1:25" x14ac:dyDescent="0.2">
      <c r="A74" s="3" t="s">
        <v>87</v>
      </c>
      <c r="B74" s="5">
        <v>341.89</v>
      </c>
      <c r="C74" s="5">
        <v>257.45</v>
      </c>
      <c r="D74" s="5">
        <v>294.89</v>
      </c>
      <c r="E74" s="5">
        <v>396.12</v>
      </c>
      <c r="F74" s="5">
        <v>278.20999999999998</v>
      </c>
      <c r="G74" s="5">
        <v>272.3</v>
      </c>
      <c r="H74" s="5">
        <v>341.21</v>
      </c>
      <c r="I74" s="5">
        <v>263.08</v>
      </c>
      <c r="J74" s="5">
        <v>282.97000000000003</v>
      </c>
      <c r="K74" s="5">
        <v>362.04</v>
      </c>
      <c r="L74" s="5">
        <v>280.91000000000003</v>
      </c>
      <c r="M74" s="5">
        <v>274.01</v>
      </c>
      <c r="N74" s="5">
        <v>368.12</v>
      </c>
      <c r="O74" s="5">
        <v>272.70999999999998</v>
      </c>
      <c r="P74" s="5">
        <v>274.19</v>
      </c>
      <c r="Q74" s="5">
        <v>381.37</v>
      </c>
      <c r="R74" s="5">
        <v>235.72</v>
      </c>
      <c r="S74" s="5">
        <v>252.6</v>
      </c>
      <c r="T74" s="5">
        <v>289.45</v>
      </c>
      <c r="U74" s="5">
        <v>227.89</v>
      </c>
      <c r="V74" s="5">
        <v>246.32</v>
      </c>
      <c r="W74" s="5"/>
      <c r="X74" s="5"/>
      <c r="Y74" s="5"/>
    </row>
    <row r="75" spans="1:25" x14ac:dyDescent="0.2">
      <c r="A75" s="3" t="s">
        <v>88</v>
      </c>
      <c r="B75" s="5">
        <v>30000</v>
      </c>
      <c r="C75" s="5">
        <v>30000</v>
      </c>
      <c r="D75" s="5">
        <v>30000</v>
      </c>
      <c r="E75" s="5">
        <v>30000</v>
      </c>
      <c r="F75" s="5">
        <v>30000</v>
      </c>
      <c r="G75" s="5">
        <v>30000</v>
      </c>
      <c r="H75" s="5">
        <v>30000</v>
      </c>
      <c r="I75" s="5">
        <v>30000</v>
      </c>
      <c r="J75" s="5">
        <v>30000</v>
      </c>
      <c r="K75" s="5">
        <v>30000</v>
      </c>
      <c r="L75" s="5">
        <v>30000</v>
      </c>
      <c r="M75" s="5">
        <v>30000</v>
      </c>
      <c r="N75" s="5">
        <v>27000</v>
      </c>
      <c r="O75" s="5">
        <v>27000</v>
      </c>
      <c r="P75" s="5">
        <v>27000</v>
      </c>
      <c r="Q75" s="5">
        <v>27000</v>
      </c>
      <c r="R75" s="5">
        <v>27000</v>
      </c>
      <c r="S75" s="5">
        <v>27000</v>
      </c>
      <c r="T75" s="5">
        <v>27000</v>
      </c>
      <c r="U75" s="5">
        <v>27000</v>
      </c>
      <c r="V75" s="5">
        <v>27000</v>
      </c>
      <c r="W75" s="5"/>
      <c r="X75" s="5"/>
      <c r="Y75" s="5"/>
    </row>
    <row r="76" spans="1:25" x14ac:dyDescent="0.2">
      <c r="A76" s="3" t="s">
        <v>89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/>
      <c r="X76" s="5"/>
      <c r="Y76" s="5"/>
    </row>
    <row r="77" spans="1:25" x14ac:dyDescent="0.2">
      <c r="A77" s="3" t="s">
        <v>90</v>
      </c>
      <c r="B77" s="5">
        <v>0</v>
      </c>
      <c r="C77" s="5">
        <v>18237.55</v>
      </c>
      <c r="D77" s="5">
        <v>0</v>
      </c>
      <c r="E77" s="5">
        <v>3780.73</v>
      </c>
      <c r="F77" s="5">
        <v>14456.82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19015.21</v>
      </c>
      <c r="P77" s="5">
        <v>0</v>
      </c>
      <c r="Q77" s="5">
        <v>0</v>
      </c>
      <c r="R77" s="5">
        <v>0</v>
      </c>
      <c r="S77" s="5">
        <v>17721.73</v>
      </c>
      <c r="T77" s="5">
        <v>0</v>
      </c>
      <c r="U77" s="5">
        <v>0</v>
      </c>
      <c r="V77" s="5">
        <v>0</v>
      </c>
      <c r="W77" s="5"/>
      <c r="X77" s="5"/>
      <c r="Y77" s="5"/>
    </row>
    <row r="78" spans="1:25" x14ac:dyDescent="0.2">
      <c r="A78" s="3" t="s">
        <v>91</v>
      </c>
      <c r="B78" s="5">
        <v>1245.3699999999999</v>
      </c>
      <c r="C78" s="5">
        <v>459.59</v>
      </c>
      <c r="D78" s="5">
        <v>1234.8699999999999</v>
      </c>
      <c r="E78" s="5">
        <v>466.59</v>
      </c>
      <c r="F78" s="5">
        <v>1227.8699999999999</v>
      </c>
      <c r="G78" s="5">
        <v>459.59</v>
      </c>
      <c r="H78" s="5">
        <v>466.59</v>
      </c>
      <c r="I78" s="5">
        <v>466.59</v>
      </c>
      <c r="J78" s="5">
        <v>459.59</v>
      </c>
      <c r="K78" s="5">
        <v>0</v>
      </c>
      <c r="L78" s="5">
        <v>549.4</v>
      </c>
      <c r="M78" s="5">
        <v>548.96</v>
      </c>
      <c r="N78" s="5">
        <v>548.76</v>
      </c>
      <c r="O78" s="5">
        <v>548.76</v>
      </c>
      <c r="P78" s="5">
        <v>548.76</v>
      </c>
      <c r="Q78" s="5">
        <v>548.76</v>
      </c>
      <c r="R78" s="5">
        <v>0</v>
      </c>
      <c r="S78" s="5">
        <v>0</v>
      </c>
      <c r="T78" s="5">
        <v>1632.28</v>
      </c>
      <c r="U78" s="5">
        <v>0</v>
      </c>
      <c r="V78" s="5">
        <v>1894</v>
      </c>
      <c r="W78" s="5"/>
      <c r="X78" s="5"/>
      <c r="Y78" s="5"/>
    </row>
    <row r="79" spans="1:25" x14ac:dyDescent="0.2">
      <c r="A79" s="3" t="s">
        <v>92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324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/>
      <c r="X79" s="5"/>
      <c r="Y79" s="5"/>
    </row>
    <row r="80" spans="1:25" x14ac:dyDescent="0.2">
      <c r="A80" s="3" t="s">
        <v>93</v>
      </c>
      <c r="B80" s="5">
        <v>0</v>
      </c>
      <c r="C80" s="5">
        <v>0</v>
      </c>
      <c r="D80" s="5">
        <v>5548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5887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/>
      <c r="X80" s="5"/>
      <c r="Y80" s="5"/>
    </row>
    <row r="81" spans="1:25" x14ac:dyDescent="0.2">
      <c r="A81" s="3" t="s">
        <v>94</v>
      </c>
      <c r="B81" s="5">
        <v>2240.21</v>
      </c>
      <c r="C81" s="5">
        <v>2432.44</v>
      </c>
      <c r="D81" s="5">
        <v>2407.16</v>
      </c>
      <c r="E81" s="5">
        <v>2127.14</v>
      </c>
      <c r="F81" s="5">
        <v>1939.93</v>
      </c>
      <c r="G81" s="5">
        <v>2078.54</v>
      </c>
      <c r="H81" s="5">
        <v>2224.91</v>
      </c>
      <c r="I81" s="5">
        <v>2280.66</v>
      </c>
      <c r="J81" s="5">
        <v>2251.61</v>
      </c>
      <c r="K81" s="5">
        <v>2293.02</v>
      </c>
      <c r="L81" s="5">
        <v>1781.99</v>
      </c>
      <c r="M81" s="5">
        <v>1978.46</v>
      </c>
      <c r="N81" s="5">
        <v>2514.02</v>
      </c>
      <c r="O81" s="5">
        <v>2461.67</v>
      </c>
      <c r="P81" s="5">
        <v>2282.8200000000002</v>
      </c>
      <c r="Q81" s="5">
        <v>1994.93</v>
      </c>
      <c r="R81" s="5">
        <v>1699.19</v>
      </c>
      <c r="S81" s="5">
        <v>896.74</v>
      </c>
      <c r="T81" s="5">
        <v>2607.4899999999998</v>
      </c>
      <c r="U81" s="5">
        <v>2836.52</v>
      </c>
      <c r="V81" s="5">
        <v>2727.12</v>
      </c>
      <c r="W81" s="5"/>
      <c r="X81" s="5"/>
      <c r="Y81" s="5"/>
    </row>
    <row r="82" spans="1:25" x14ac:dyDescent="0.2">
      <c r="A82" s="3" t="s">
        <v>95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/>
      <c r="X82" s="5"/>
      <c r="Y82" s="5"/>
    </row>
    <row r="83" spans="1:25" x14ac:dyDescent="0.2">
      <c r="A83" s="3" t="s">
        <v>96</v>
      </c>
      <c r="B83" s="5">
        <v>4591.91</v>
      </c>
      <c r="C83" s="5">
        <v>3232.85</v>
      </c>
      <c r="D83" s="5">
        <v>4717.6400000000003</v>
      </c>
      <c r="E83" s="5">
        <v>3956.37</v>
      </c>
      <c r="F83" s="5">
        <v>3541.79</v>
      </c>
      <c r="G83" s="5">
        <v>3664.09</v>
      </c>
      <c r="H83" s="5">
        <v>3828.44</v>
      </c>
      <c r="I83" s="5">
        <v>3710.79</v>
      </c>
      <c r="J83" s="5">
        <v>4127.2700000000004</v>
      </c>
      <c r="K83" s="5">
        <v>3849.12</v>
      </c>
      <c r="L83" s="5">
        <v>3904.37</v>
      </c>
      <c r="M83" s="5">
        <v>3959.18</v>
      </c>
      <c r="N83" s="5">
        <v>3487.27</v>
      </c>
      <c r="O83" s="5">
        <v>3649.25</v>
      </c>
      <c r="P83" s="5">
        <v>4066.36</v>
      </c>
      <c r="Q83" s="5">
        <v>3653.82</v>
      </c>
      <c r="R83" s="5">
        <v>3752.67</v>
      </c>
      <c r="S83" s="5">
        <v>3668.91</v>
      </c>
      <c r="T83" s="5">
        <v>3609.38</v>
      </c>
      <c r="U83" s="5">
        <v>3595.63</v>
      </c>
      <c r="V83" s="5">
        <v>3304.71</v>
      </c>
      <c r="W83" s="5"/>
      <c r="X83" s="5"/>
      <c r="Y83" s="5"/>
    </row>
    <row r="84" spans="1:25" x14ac:dyDescent="0.2">
      <c r="A84" s="3" t="s">
        <v>97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/>
      <c r="X84" s="5"/>
      <c r="Y84" s="5"/>
    </row>
    <row r="85" spans="1:25" x14ac:dyDescent="0.2">
      <c r="A85" s="3" t="s">
        <v>98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/>
      <c r="X85" s="5"/>
      <c r="Y85" s="5"/>
    </row>
    <row r="86" spans="1:25" x14ac:dyDescent="0.2">
      <c r="A86" s="3" t="s">
        <v>99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/>
      <c r="X86" s="5"/>
      <c r="Y86" s="5"/>
    </row>
    <row r="87" spans="1:25" x14ac:dyDescent="0.2">
      <c r="A87" s="3" t="s">
        <v>100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/>
      <c r="X87" s="5"/>
      <c r="Y87" s="5"/>
    </row>
    <row r="88" spans="1:25" x14ac:dyDescent="0.2">
      <c r="A88" s="3" t="s">
        <v>101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/>
      <c r="X88" s="5"/>
      <c r="Y88" s="5"/>
    </row>
    <row r="89" spans="1:25" x14ac:dyDescent="0.2">
      <c r="A89" s="3" t="s">
        <v>102</v>
      </c>
      <c r="B89" s="5">
        <v>3864.19</v>
      </c>
      <c r="C89" s="5">
        <v>5033.24</v>
      </c>
      <c r="D89" s="5">
        <v>3262.58</v>
      </c>
      <c r="E89" s="5">
        <v>4924.57</v>
      </c>
      <c r="F89" s="5">
        <v>4397.01</v>
      </c>
      <c r="G89" s="5">
        <v>3672.32</v>
      </c>
      <c r="H89" s="5">
        <v>3325.78</v>
      </c>
      <c r="I89" s="5">
        <v>2691</v>
      </c>
      <c r="J89" s="5">
        <v>2795.59</v>
      </c>
      <c r="K89" s="5">
        <v>3040.07</v>
      </c>
      <c r="L89" s="5">
        <v>1512.08</v>
      </c>
      <c r="M89" s="5">
        <v>4191.25</v>
      </c>
      <c r="N89" s="5">
        <v>1526.64</v>
      </c>
      <c r="O89" s="5">
        <v>4530.55</v>
      </c>
      <c r="P89" s="5">
        <v>2873.39</v>
      </c>
      <c r="Q89" s="5">
        <v>3326.74</v>
      </c>
      <c r="R89" s="5">
        <v>2133.67</v>
      </c>
      <c r="S89" s="5">
        <v>3154</v>
      </c>
      <c r="T89" s="5">
        <v>4239.28</v>
      </c>
      <c r="U89" s="5">
        <v>2852.65</v>
      </c>
      <c r="V89" s="5">
        <v>3895.87</v>
      </c>
      <c r="W89" s="5"/>
      <c r="X89" s="5"/>
      <c r="Y89" s="5"/>
    </row>
    <row r="90" spans="1:25" x14ac:dyDescent="0.2">
      <c r="A90" s="3" t="s">
        <v>103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/>
      <c r="X90" s="5"/>
      <c r="Y90" s="5"/>
    </row>
    <row r="91" spans="1:25" x14ac:dyDescent="0.2">
      <c r="A91" s="3" t="s">
        <v>104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/>
      <c r="X91" s="5"/>
      <c r="Y91" s="5"/>
    </row>
    <row r="92" spans="1:25" x14ac:dyDescent="0.2">
      <c r="A92" s="3" t="s">
        <v>105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/>
      <c r="X92" s="5"/>
      <c r="Y92" s="5"/>
    </row>
    <row r="93" spans="1:25" x14ac:dyDescent="0.2">
      <c r="A93" s="3" t="s">
        <v>106</v>
      </c>
      <c r="B93" s="5">
        <v>5783.75</v>
      </c>
      <c r="C93" s="5">
        <v>5562.63</v>
      </c>
      <c r="D93" s="5">
        <v>15489.56</v>
      </c>
      <c r="E93" s="5">
        <v>5208.5200000000004</v>
      </c>
      <c r="F93" s="5">
        <v>6386.11</v>
      </c>
      <c r="G93" s="5">
        <v>13348.77</v>
      </c>
      <c r="H93" s="5">
        <v>5423.78</v>
      </c>
      <c r="I93" s="5">
        <v>5317.33</v>
      </c>
      <c r="J93" s="5">
        <v>16379.58</v>
      </c>
      <c r="K93" s="5">
        <v>6098.28</v>
      </c>
      <c r="L93" s="5">
        <v>4660.6000000000004</v>
      </c>
      <c r="M93" s="5">
        <v>5645</v>
      </c>
      <c r="N93" s="5">
        <v>17851.96</v>
      </c>
      <c r="O93" s="5">
        <v>5250.74</v>
      </c>
      <c r="P93" s="5">
        <v>16585.650000000001</v>
      </c>
      <c r="Q93" s="5">
        <v>960.19</v>
      </c>
      <c r="R93" s="5">
        <v>9556.33</v>
      </c>
      <c r="S93" s="5">
        <v>14318.23</v>
      </c>
      <c r="T93" s="5">
        <v>17020.13</v>
      </c>
      <c r="U93" s="5">
        <v>6912.98</v>
      </c>
      <c r="V93" s="5">
        <v>16640.28</v>
      </c>
      <c r="W93" s="5"/>
      <c r="X93" s="5"/>
      <c r="Y93" s="5"/>
    </row>
    <row r="94" spans="1:25" customFormat="1" ht="14.25" x14ac:dyDescent="0.2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x14ac:dyDescent="0.2">
      <c r="A95" s="3" t="s">
        <v>0</v>
      </c>
      <c r="B95" s="5">
        <f t="shared" ref="B95:V95" si="4">ROUND(SUBTOTAL(9, B69:B94), 5)</f>
        <v>56350.2</v>
      </c>
      <c r="C95" s="5">
        <f t="shared" si="4"/>
        <v>162988.57</v>
      </c>
      <c r="D95" s="5">
        <f t="shared" si="4"/>
        <v>112731.4</v>
      </c>
      <c r="E95" s="5">
        <f t="shared" si="4"/>
        <v>149201.47</v>
      </c>
      <c r="F95" s="5">
        <f t="shared" si="4"/>
        <v>143313.72</v>
      </c>
      <c r="G95" s="5">
        <f t="shared" si="4"/>
        <v>168520.73</v>
      </c>
      <c r="H95" s="5">
        <f t="shared" si="4"/>
        <v>124596.9</v>
      </c>
      <c r="I95" s="5">
        <f t="shared" si="4"/>
        <v>168238.67</v>
      </c>
      <c r="J95" s="5">
        <f t="shared" si="4"/>
        <v>164247.48000000001</v>
      </c>
      <c r="K95" s="5">
        <f t="shared" si="4"/>
        <v>143703.67000000001</v>
      </c>
      <c r="L95" s="5">
        <f t="shared" si="4"/>
        <v>90572.66</v>
      </c>
      <c r="M95" s="5">
        <f t="shared" si="4"/>
        <v>146493.32</v>
      </c>
      <c r="N95" s="5">
        <f t="shared" si="4"/>
        <v>85491.09</v>
      </c>
      <c r="O95" s="5">
        <f t="shared" si="4"/>
        <v>128001.25</v>
      </c>
      <c r="P95" s="5">
        <f t="shared" si="4"/>
        <v>149883.01999999999</v>
      </c>
      <c r="Q95" s="5">
        <f t="shared" si="4"/>
        <v>118104.15</v>
      </c>
      <c r="R95" s="5">
        <f t="shared" si="4"/>
        <v>99197.81</v>
      </c>
      <c r="S95" s="5">
        <f t="shared" si="4"/>
        <v>143876.68</v>
      </c>
      <c r="T95" s="5">
        <f t="shared" si="4"/>
        <v>111387.74</v>
      </c>
      <c r="U95" s="5">
        <f t="shared" si="4"/>
        <v>167685.9</v>
      </c>
      <c r="V95" s="5">
        <f t="shared" si="4"/>
        <v>202314.47</v>
      </c>
      <c r="W95" s="5"/>
      <c r="X95" s="5"/>
      <c r="Y95" s="5"/>
    </row>
    <row r="96" spans="1:25" customFormat="1" ht="14.25" x14ac:dyDescent="0.2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x14ac:dyDescent="0.2">
      <c r="A97" s="3" t="s">
        <v>107</v>
      </c>
    </row>
    <row r="98" spans="1:25" x14ac:dyDescent="0.2">
      <c r="A98" s="3" t="s">
        <v>108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150</v>
      </c>
      <c r="H98" s="5">
        <v>0</v>
      </c>
      <c r="I98" s="5">
        <v>0</v>
      </c>
      <c r="J98" s="5">
        <v>0</v>
      </c>
      <c r="K98" s="5">
        <v>255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255</v>
      </c>
      <c r="V98" s="5">
        <v>0</v>
      </c>
      <c r="W98" s="5"/>
      <c r="X98" s="5"/>
      <c r="Y98" s="5"/>
    </row>
    <row r="99" spans="1:25" x14ac:dyDescent="0.2">
      <c r="A99" s="3" t="s">
        <v>109</v>
      </c>
      <c r="B99" s="5">
        <v>0</v>
      </c>
      <c r="C99" s="5">
        <v>675</v>
      </c>
      <c r="D99" s="5">
        <v>0</v>
      </c>
      <c r="E99" s="5">
        <v>2425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725</v>
      </c>
      <c r="P99" s="5">
        <v>0</v>
      </c>
      <c r="Q99" s="5">
        <v>0</v>
      </c>
      <c r="R99" s="5">
        <v>3225</v>
      </c>
      <c r="S99" s="5">
        <v>0</v>
      </c>
      <c r="T99" s="5">
        <v>0</v>
      </c>
      <c r="U99" s="5">
        <v>0</v>
      </c>
      <c r="V99" s="5">
        <v>0</v>
      </c>
      <c r="W99" s="5"/>
      <c r="X99" s="5"/>
      <c r="Y99" s="5"/>
    </row>
    <row r="100" spans="1:25" x14ac:dyDescent="0.2">
      <c r="A100" s="3" t="s">
        <v>110</v>
      </c>
      <c r="B100" s="5">
        <v>857.5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1277.5</v>
      </c>
      <c r="O100" s="5">
        <v>192.5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/>
      <c r="X100" s="5"/>
      <c r="Y100" s="5"/>
    </row>
    <row r="101" spans="1:25" x14ac:dyDescent="0.2">
      <c r="A101" s="3" t="s">
        <v>111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/>
      <c r="X101" s="5"/>
      <c r="Y101" s="5"/>
    </row>
    <row r="102" spans="1:25" x14ac:dyDescent="0.2">
      <c r="A102" s="3" t="s">
        <v>112</v>
      </c>
      <c r="B102" s="5">
        <v>4097.26</v>
      </c>
      <c r="C102" s="5">
        <v>5588.81</v>
      </c>
      <c r="D102" s="5">
        <v>790.42</v>
      </c>
      <c r="E102" s="5">
        <v>8800.1200000000008</v>
      </c>
      <c r="F102" s="5">
        <v>14080.97</v>
      </c>
      <c r="G102" s="5">
        <v>19726.63</v>
      </c>
      <c r="H102" s="5">
        <v>22770.49</v>
      </c>
      <c r="I102" s="5">
        <v>13481.77</v>
      </c>
      <c r="J102" s="5">
        <v>18598.240000000002</v>
      </c>
      <c r="K102" s="5">
        <v>21584.69</v>
      </c>
      <c r="L102" s="5">
        <v>13439.03</v>
      </c>
      <c r="M102" s="5">
        <v>22361</v>
      </c>
      <c r="N102" s="5">
        <v>12876.47</v>
      </c>
      <c r="O102" s="5">
        <v>9496.92</v>
      </c>
      <c r="P102" s="5">
        <v>13645.88</v>
      </c>
      <c r="Q102" s="5">
        <v>16794.990000000002</v>
      </c>
      <c r="R102" s="5">
        <v>15095.3</v>
      </c>
      <c r="S102" s="5">
        <v>18334.28</v>
      </c>
      <c r="T102" s="5">
        <v>8307.1200000000008</v>
      </c>
      <c r="U102" s="5">
        <v>6821.8</v>
      </c>
      <c r="V102" s="5">
        <v>24262.78</v>
      </c>
      <c r="W102" s="5"/>
      <c r="X102" s="5"/>
      <c r="Y102" s="5"/>
    </row>
    <row r="103" spans="1:25" x14ac:dyDescent="0.2">
      <c r="A103" s="3" t="s">
        <v>113</v>
      </c>
      <c r="B103" s="5">
        <v>895.54</v>
      </c>
      <c r="C103" s="5">
        <v>1133.7</v>
      </c>
      <c r="D103" s="5">
        <v>1500.2</v>
      </c>
      <c r="E103" s="5">
        <v>892.78</v>
      </c>
      <c r="F103" s="5">
        <v>877.75</v>
      </c>
      <c r="G103" s="5">
        <v>854.77</v>
      </c>
      <c r="H103" s="5">
        <v>899.04</v>
      </c>
      <c r="I103" s="5">
        <v>1252.27</v>
      </c>
      <c r="J103" s="5">
        <v>922.93</v>
      </c>
      <c r="K103" s="5">
        <v>922.32</v>
      </c>
      <c r="L103" s="5">
        <v>950.33</v>
      </c>
      <c r="M103" s="5">
        <v>932.93</v>
      </c>
      <c r="N103" s="5">
        <v>1245.9000000000001</v>
      </c>
      <c r="O103" s="5">
        <v>1474.29</v>
      </c>
      <c r="P103" s="5">
        <v>933.32</v>
      </c>
      <c r="Q103" s="5">
        <v>919.57</v>
      </c>
      <c r="R103" s="5">
        <v>930.53</v>
      </c>
      <c r="S103" s="5">
        <v>899.76</v>
      </c>
      <c r="T103" s="5">
        <v>936.3</v>
      </c>
      <c r="U103" s="5">
        <v>1298.1400000000001</v>
      </c>
      <c r="V103" s="5">
        <v>956.22</v>
      </c>
      <c r="W103" s="5"/>
      <c r="X103" s="5"/>
      <c r="Y103" s="5"/>
    </row>
    <row r="104" spans="1:25" x14ac:dyDescent="0.2">
      <c r="A104" s="3" t="s">
        <v>114</v>
      </c>
      <c r="B104" s="5">
        <v>1236.27</v>
      </c>
      <c r="C104" s="5">
        <v>1331.95</v>
      </c>
      <c r="D104" s="5">
        <v>1276.72</v>
      </c>
      <c r="E104" s="5">
        <v>1316.83</v>
      </c>
      <c r="F104" s="5">
        <v>1367.14</v>
      </c>
      <c r="G104" s="5">
        <v>1321.03</v>
      </c>
      <c r="H104" s="5">
        <v>1250.94</v>
      </c>
      <c r="I104" s="5">
        <v>1187.3699999999999</v>
      </c>
      <c r="J104" s="5">
        <v>986.13</v>
      </c>
      <c r="K104" s="5">
        <v>1073.06</v>
      </c>
      <c r="L104" s="5">
        <v>1105.8599999999999</v>
      </c>
      <c r="M104" s="5">
        <v>1135.08</v>
      </c>
      <c r="N104" s="5">
        <v>1179.32</v>
      </c>
      <c r="O104" s="5">
        <v>1051.1500000000001</v>
      </c>
      <c r="P104" s="5">
        <v>1173.24</v>
      </c>
      <c r="Q104" s="5">
        <v>1252.6400000000001</v>
      </c>
      <c r="R104" s="5">
        <v>1266.8499999999999</v>
      </c>
      <c r="S104" s="5">
        <v>1348.84</v>
      </c>
      <c r="T104" s="5">
        <v>1273.8499999999999</v>
      </c>
      <c r="U104" s="5">
        <v>1230.98</v>
      </c>
      <c r="V104" s="5">
        <v>1261.72</v>
      </c>
      <c r="W104" s="5"/>
      <c r="X104" s="5"/>
      <c r="Y104" s="5"/>
    </row>
    <row r="105" spans="1:25" x14ac:dyDescent="0.2">
      <c r="A105" s="3" t="s">
        <v>107</v>
      </c>
      <c r="B105" s="5">
        <v>780.47</v>
      </c>
      <c r="C105" s="5">
        <v>222.55</v>
      </c>
      <c r="D105" s="5">
        <v>86.7</v>
      </c>
      <c r="E105" s="5">
        <v>488.7</v>
      </c>
      <c r="F105" s="5">
        <v>134.69999999999999</v>
      </c>
      <c r="G105" s="5">
        <v>86.7</v>
      </c>
      <c r="H105" s="5">
        <v>493.01</v>
      </c>
      <c r="I105" s="5">
        <v>1130.06</v>
      </c>
      <c r="J105" s="5">
        <v>108.7</v>
      </c>
      <c r="K105" s="5">
        <v>478.69</v>
      </c>
      <c r="L105" s="5">
        <v>220.69</v>
      </c>
      <c r="M105" s="5">
        <v>114.35</v>
      </c>
      <c r="N105" s="5">
        <v>868.69</v>
      </c>
      <c r="O105" s="5">
        <v>210.7</v>
      </c>
      <c r="P105" s="5">
        <v>220.69</v>
      </c>
      <c r="Q105" s="5">
        <v>76.69</v>
      </c>
      <c r="R105" s="5">
        <v>266.83999999999997</v>
      </c>
      <c r="S105" s="5">
        <v>76.69</v>
      </c>
      <c r="T105" s="5">
        <v>443.97</v>
      </c>
      <c r="U105" s="5">
        <v>136.04</v>
      </c>
      <c r="V105" s="5">
        <v>199.62</v>
      </c>
      <c r="W105" s="5"/>
      <c r="X105" s="5"/>
      <c r="Y105" s="5"/>
    </row>
    <row r="106" spans="1:25" x14ac:dyDescent="0.2">
      <c r="A106" s="3" t="s">
        <v>115</v>
      </c>
      <c r="B106" s="5">
        <v>298.43</v>
      </c>
      <c r="C106" s="5">
        <v>299.69</v>
      </c>
      <c r="D106" s="5">
        <v>299.69</v>
      </c>
      <c r="E106" s="5">
        <v>299.69</v>
      </c>
      <c r="F106" s="5">
        <v>299.69</v>
      </c>
      <c r="G106" s="5">
        <v>299.69</v>
      </c>
      <c r="H106" s="5">
        <v>299.69</v>
      </c>
      <c r="I106" s="5">
        <v>299.69</v>
      </c>
      <c r="J106" s="5">
        <v>299.69</v>
      </c>
      <c r="K106" s="5">
        <v>299.69</v>
      </c>
      <c r="L106" s="5">
        <v>299.69</v>
      </c>
      <c r="M106" s="5">
        <v>299.69</v>
      </c>
      <c r="N106" s="5">
        <v>299.69</v>
      </c>
      <c r="O106" s="5">
        <v>299.69</v>
      </c>
      <c r="P106" s="5">
        <v>2299.69</v>
      </c>
      <c r="Q106" s="5">
        <v>299.69</v>
      </c>
      <c r="R106" s="5">
        <v>299.69</v>
      </c>
      <c r="S106" s="5">
        <v>299.69</v>
      </c>
      <c r="T106" s="5">
        <v>299.69</v>
      </c>
      <c r="U106" s="5">
        <v>299.69</v>
      </c>
      <c r="V106" s="5">
        <v>299.69</v>
      </c>
      <c r="W106" s="5"/>
      <c r="X106" s="5"/>
      <c r="Y106" s="5"/>
    </row>
    <row r="107" spans="1:25" x14ac:dyDescent="0.2">
      <c r="A107" s="3" t="s">
        <v>116</v>
      </c>
      <c r="B107" s="5">
        <v>685.47</v>
      </c>
      <c r="C107" s="5">
        <v>715.56</v>
      </c>
      <c r="D107" s="5">
        <v>719.88</v>
      </c>
      <c r="E107" s="5">
        <v>874.83</v>
      </c>
      <c r="F107" s="5">
        <v>723.81</v>
      </c>
      <c r="G107" s="5">
        <v>735.14</v>
      </c>
      <c r="H107" s="5">
        <v>738.59</v>
      </c>
      <c r="I107" s="5">
        <v>826.41</v>
      </c>
      <c r="J107" s="5">
        <v>1010.37</v>
      </c>
      <c r="K107" s="5">
        <v>724.94</v>
      </c>
      <c r="L107" s="5">
        <v>739.14</v>
      </c>
      <c r="M107" s="5">
        <v>759.41</v>
      </c>
      <c r="N107" s="5">
        <v>909.44</v>
      </c>
      <c r="O107" s="5">
        <v>789.29</v>
      </c>
      <c r="P107" s="5">
        <v>842.01</v>
      </c>
      <c r="Q107" s="5">
        <v>941.9</v>
      </c>
      <c r="R107" s="5">
        <v>1103.3599999999999</v>
      </c>
      <c r="S107" s="5">
        <v>955.94</v>
      </c>
      <c r="T107" s="5">
        <v>1146.25</v>
      </c>
      <c r="U107" s="5">
        <v>785.5</v>
      </c>
      <c r="V107" s="5">
        <v>932.74</v>
      </c>
      <c r="W107" s="5"/>
      <c r="X107" s="5"/>
      <c r="Y107" s="5"/>
    </row>
    <row r="108" spans="1:25" x14ac:dyDescent="0.2">
      <c r="A108" s="3" t="s">
        <v>117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/>
      <c r="X108" s="5"/>
      <c r="Y108" s="5"/>
    </row>
    <row r="109" spans="1:25" x14ac:dyDescent="0.2">
      <c r="A109" s="3" t="s">
        <v>118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/>
      <c r="X109" s="5"/>
      <c r="Y109" s="5"/>
    </row>
    <row r="110" spans="1:25" x14ac:dyDescent="0.2">
      <c r="A110" s="3" t="s">
        <v>119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/>
      <c r="X110" s="5"/>
      <c r="Y110" s="5"/>
    </row>
    <row r="111" spans="1:25" customFormat="1" ht="14.25" x14ac:dyDescent="0.2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x14ac:dyDescent="0.2">
      <c r="A112" s="3" t="s">
        <v>0</v>
      </c>
      <c r="B112" s="5">
        <f t="shared" ref="B112:V112" si="5">ROUND(SUBTOTAL(9, B97:B111), 5)</f>
        <v>8850.94</v>
      </c>
      <c r="C112" s="5">
        <f t="shared" si="5"/>
        <v>9967.26</v>
      </c>
      <c r="D112" s="5">
        <f t="shared" si="5"/>
        <v>4673.6099999999997</v>
      </c>
      <c r="E112" s="5">
        <f t="shared" si="5"/>
        <v>15097.95</v>
      </c>
      <c r="F112" s="5">
        <f t="shared" si="5"/>
        <v>17484.060000000001</v>
      </c>
      <c r="G112" s="5">
        <f t="shared" si="5"/>
        <v>23173.96</v>
      </c>
      <c r="H112" s="5">
        <f t="shared" si="5"/>
        <v>26451.759999999998</v>
      </c>
      <c r="I112" s="5">
        <f t="shared" si="5"/>
        <v>18177.57</v>
      </c>
      <c r="J112" s="5">
        <f t="shared" si="5"/>
        <v>21926.06</v>
      </c>
      <c r="K112" s="5">
        <f t="shared" si="5"/>
        <v>25338.39</v>
      </c>
      <c r="L112" s="5">
        <f t="shared" si="5"/>
        <v>16754.740000000002</v>
      </c>
      <c r="M112" s="5">
        <f t="shared" si="5"/>
        <v>25602.46</v>
      </c>
      <c r="N112" s="5">
        <f t="shared" si="5"/>
        <v>18657.009999999998</v>
      </c>
      <c r="O112" s="5">
        <f t="shared" si="5"/>
        <v>14239.54</v>
      </c>
      <c r="P112" s="5">
        <f t="shared" si="5"/>
        <v>19114.830000000002</v>
      </c>
      <c r="Q112" s="5">
        <f t="shared" si="5"/>
        <v>20285.48</v>
      </c>
      <c r="R112" s="5">
        <f t="shared" si="5"/>
        <v>22187.57</v>
      </c>
      <c r="S112" s="5">
        <f t="shared" si="5"/>
        <v>21915.200000000001</v>
      </c>
      <c r="T112" s="5">
        <f t="shared" si="5"/>
        <v>12407.18</v>
      </c>
      <c r="U112" s="5">
        <f t="shared" si="5"/>
        <v>10827.15</v>
      </c>
      <c r="V112" s="5">
        <f t="shared" si="5"/>
        <v>27912.77</v>
      </c>
      <c r="W112" s="5"/>
      <c r="X112" s="5"/>
      <c r="Y112" s="5"/>
    </row>
    <row r="113" spans="1:25" customFormat="1" ht="14.25" x14ac:dyDescent="0.2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x14ac:dyDescent="0.2">
      <c r="A114" s="3" t="s">
        <v>120</v>
      </c>
    </row>
    <row r="115" spans="1:25" x14ac:dyDescent="0.2">
      <c r="A115" s="3" t="s">
        <v>121</v>
      </c>
      <c r="B115" s="5">
        <v>0</v>
      </c>
      <c r="C115" s="5">
        <v>104</v>
      </c>
      <c r="D115" s="5">
        <v>0</v>
      </c>
      <c r="E115" s="5">
        <v>135</v>
      </c>
      <c r="F115" s="5">
        <v>0</v>
      </c>
      <c r="G115" s="5">
        <v>218</v>
      </c>
      <c r="H115" s="5">
        <v>0</v>
      </c>
      <c r="I115" s="5">
        <v>0</v>
      </c>
      <c r="J115" s="5">
        <v>125</v>
      </c>
      <c r="K115" s="5">
        <v>111.5</v>
      </c>
      <c r="L115" s="5">
        <v>215</v>
      </c>
      <c r="M115" s="5">
        <v>340</v>
      </c>
      <c r="N115" s="5">
        <v>87</v>
      </c>
      <c r="O115" s="5">
        <v>135</v>
      </c>
      <c r="P115" s="5">
        <v>132</v>
      </c>
      <c r="Q115" s="5">
        <v>2766.67</v>
      </c>
      <c r="R115" s="5">
        <v>0</v>
      </c>
      <c r="S115" s="5">
        <v>76</v>
      </c>
      <c r="T115" s="5">
        <v>107.57</v>
      </c>
      <c r="U115" s="5">
        <v>97.82</v>
      </c>
      <c r="V115" s="5">
        <v>118.96</v>
      </c>
      <c r="W115" s="5"/>
      <c r="X115" s="5"/>
      <c r="Y115" s="5"/>
    </row>
    <row r="116" spans="1:25" x14ac:dyDescent="0.2">
      <c r="A116" s="3" t="s">
        <v>122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69.760000000000005</v>
      </c>
      <c r="H116" s="5">
        <v>0</v>
      </c>
      <c r="I116" s="5">
        <v>0</v>
      </c>
      <c r="J116" s="5">
        <v>5500</v>
      </c>
      <c r="K116" s="5">
        <v>91.49</v>
      </c>
      <c r="L116" s="5">
        <v>0</v>
      </c>
      <c r="M116" s="5">
        <v>240.43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/>
      <c r="X116" s="5"/>
      <c r="Y116" s="5"/>
    </row>
    <row r="117" spans="1:25" x14ac:dyDescent="0.2">
      <c r="A117" s="3" t="s">
        <v>123</v>
      </c>
      <c r="B117" s="5">
        <v>149.62</v>
      </c>
      <c r="C117" s="5">
        <v>195.74</v>
      </c>
      <c r="D117" s="5">
        <v>238.87</v>
      </c>
      <c r="E117" s="5">
        <v>161.54</v>
      </c>
      <c r="F117" s="5">
        <v>0</v>
      </c>
      <c r="G117" s="5">
        <v>513.20000000000005</v>
      </c>
      <c r="H117" s="5">
        <v>0</v>
      </c>
      <c r="I117" s="5">
        <v>371.29</v>
      </c>
      <c r="J117" s="5">
        <v>0</v>
      </c>
      <c r="K117" s="5">
        <v>646.58000000000004</v>
      </c>
      <c r="L117" s="5">
        <v>0</v>
      </c>
      <c r="M117" s="5">
        <v>0</v>
      </c>
      <c r="N117" s="5">
        <v>879.5</v>
      </c>
      <c r="O117" s="5">
        <v>622.71</v>
      </c>
      <c r="P117" s="5">
        <v>224.2</v>
      </c>
      <c r="Q117" s="5">
        <v>0</v>
      </c>
      <c r="R117" s="5">
        <v>441.63</v>
      </c>
      <c r="S117" s="5">
        <v>135.97</v>
      </c>
      <c r="T117" s="5">
        <v>143.63</v>
      </c>
      <c r="U117" s="5">
        <v>77.3</v>
      </c>
      <c r="V117" s="5">
        <v>198.53</v>
      </c>
      <c r="W117" s="5"/>
      <c r="X117" s="5"/>
      <c r="Y117" s="5"/>
    </row>
    <row r="118" spans="1:25" x14ac:dyDescent="0.2">
      <c r="A118" s="3" t="s">
        <v>124</v>
      </c>
      <c r="B118" s="5">
        <v>826.34</v>
      </c>
      <c r="C118" s="5">
        <v>568.11</v>
      </c>
      <c r="D118" s="5">
        <v>206.58</v>
      </c>
      <c r="E118" s="5">
        <v>774.69</v>
      </c>
      <c r="F118" s="5">
        <v>258.23</v>
      </c>
      <c r="G118" s="5">
        <v>361.52</v>
      </c>
      <c r="H118" s="5">
        <v>361.52</v>
      </c>
      <c r="I118" s="5">
        <v>723.04</v>
      </c>
      <c r="J118" s="5">
        <v>568.1</v>
      </c>
      <c r="K118" s="5">
        <v>464.82</v>
      </c>
      <c r="L118" s="5">
        <v>568.11</v>
      </c>
      <c r="M118" s="5">
        <v>361.52</v>
      </c>
      <c r="N118" s="5">
        <v>361.52</v>
      </c>
      <c r="O118" s="5">
        <v>877.98</v>
      </c>
      <c r="P118" s="5">
        <v>361.52</v>
      </c>
      <c r="Q118" s="5">
        <v>154.94</v>
      </c>
      <c r="R118" s="5">
        <v>361.52</v>
      </c>
      <c r="S118" s="5">
        <v>413.17</v>
      </c>
      <c r="T118" s="5">
        <v>516.45000000000005</v>
      </c>
      <c r="U118" s="5">
        <v>361.52</v>
      </c>
      <c r="V118" s="5">
        <v>619.75</v>
      </c>
      <c r="W118" s="5"/>
      <c r="X118" s="5"/>
      <c r="Y118" s="5"/>
    </row>
    <row r="119" spans="1:25" x14ac:dyDescent="0.2">
      <c r="A119" s="3" t="s">
        <v>125</v>
      </c>
      <c r="B119" s="5">
        <v>15144.19</v>
      </c>
      <c r="C119" s="5">
        <v>0</v>
      </c>
      <c r="D119" s="5">
        <v>0</v>
      </c>
      <c r="E119" s="5">
        <v>17221</v>
      </c>
      <c r="F119" s="5">
        <v>0</v>
      </c>
      <c r="G119" s="5">
        <v>0</v>
      </c>
      <c r="H119" s="5">
        <v>19089</v>
      </c>
      <c r="I119" s="5">
        <v>0</v>
      </c>
      <c r="J119" s="5">
        <v>0</v>
      </c>
      <c r="K119" s="5">
        <v>22917</v>
      </c>
      <c r="L119" s="5">
        <v>0</v>
      </c>
      <c r="M119" s="5">
        <v>0</v>
      </c>
      <c r="N119" s="5">
        <v>19624</v>
      </c>
      <c r="O119" s="5">
        <v>0</v>
      </c>
      <c r="P119" s="5">
        <v>14268</v>
      </c>
      <c r="Q119" s="5">
        <v>2301</v>
      </c>
      <c r="R119" s="5">
        <v>0</v>
      </c>
      <c r="S119" s="5">
        <v>0</v>
      </c>
      <c r="T119" s="5">
        <v>2301</v>
      </c>
      <c r="U119" s="5">
        <v>17878</v>
      </c>
      <c r="V119" s="5">
        <v>0</v>
      </c>
      <c r="W119" s="5"/>
      <c r="X119" s="5"/>
      <c r="Y119" s="5"/>
    </row>
    <row r="120" spans="1:25" x14ac:dyDescent="0.2">
      <c r="A120" s="3" t="s">
        <v>126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/>
      <c r="X120" s="5"/>
      <c r="Y120" s="5"/>
    </row>
    <row r="121" spans="1:25" x14ac:dyDescent="0.2">
      <c r="A121" s="3" t="s">
        <v>127</v>
      </c>
      <c r="B121" s="5">
        <v>1663.37</v>
      </c>
      <c r="C121" s="5">
        <v>2129.06</v>
      </c>
      <c r="D121" s="5">
        <v>1843.51</v>
      </c>
      <c r="E121" s="5">
        <v>1725.23</v>
      </c>
      <c r="F121" s="5">
        <v>1557.02</v>
      </c>
      <c r="G121" s="5">
        <v>1755.95</v>
      </c>
      <c r="H121" s="5">
        <v>2290.5700000000002</v>
      </c>
      <c r="I121" s="5">
        <v>1359.32</v>
      </c>
      <c r="J121" s="5">
        <v>2347</v>
      </c>
      <c r="K121" s="5">
        <v>2915.6</v>
      </c>
      <c r="L121" s="5">
        <v>796.42</v>
      </c>
      <c r="M121" s="5">
        <v>3464.77</v>
      </c>
      <c r="N121" s="5">
        <v>1022.2</v>
      </c>
      <c r="O121" s="5">
        <v>1339.21</v>
      </c>
      <c r="P121" s="5">
        <v>1566.44</v>
      </c>
      <c r="Q121" s="5">
        <v>2689.12</v>
      </c>
      <c r="R121" s="5">
        <v>570.83000000000004</v>
      </c>
      <c r="S121" s="5">
        <v>2089.75</v>
      </c>
      <c r="T121" s="5">
        <v>2101.38</v>
      </c>
      <c r="U121" s="5">
        <v>1895.8</v>
      </c>
      <c r="V121" s="5">
        <v>1175.3900000000001</v>
      </c>
      <c r="W121" s="5"/>
      <c r="X121" s="5"/>
      <c r="Y121" s="5"/>
    </row>
    <row r="122" spans="1:25" x14ac:dyDescent="0.2">
      <c r="A122" s="3" t="s">
        <v>128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/>
      <c r="X122" s="5"/>
      <c r="Y122" s="5"/>
    </row>
    <row r="123" spans="1:25" x14ac:dyDescent="0.2">
      <c r="A123" s="3" t="s">
        <v>129</v>
      </c>
      <c r="B123" s="5">
        <v>1972.32</v>
      </c>
      <c r="C123" s="5">
        <v>1787.01</v>
      </c>
      <c r="D123" s="5">
        <v>2033.71</v>
      </c>
      <c r="E123" s="5">
        <v>2190.08</v>
      </c>
      <c r="F123" s="5">
        <v>2757.29</v>
      </c>
      <c r="G123" s="5">
        <v>2148.15</v>
      </c>
      <c r="H123" s="5">
        <v>2149.77</v>
      </c>
      <c r="I123" s="5">
        <v>2122.54</v>
      </c>
      <c r="J123" s="5">
        <v>1973.94</v>
      </c>
      <c r="K123" s="5">
        <v>2281.17</v>
      </c>
      <c r="L123" s="5">
        <v>2100.16</v>
      </c>
      <c r="M123" s="5">
        <v>1760.14</v>
      </c>
      <c r="N123" s="5">
        <v>2004.24</v>
      </c>
      <c r="O123" s="5">
        <v>2286.5500000000002</v>
      </c>
      <c r="P123" s="5">
        <v>2066.9</v>
      </c>
      <c r="Q123" s="5">
        <v>2582.52</v>
      </c>
      <c r="R123" s="5">
        <v>2579.2199999999998</v>
      </c>
      <c r="S123" s="5">
        <v>2651.01</v>
      </c>
      <c r="T123" s="5">
        <v>2121.56</v>
      </c>
      <c r="U123" s="5">
        <v>2198.6999999999998</v>
      </c>
      <c r="V123" s="5">
        <v>2825.1</v>
      </c>
      <c r="W123" s="5"/>
      <c r="X123" s="5"/>
      <c r="Y123" s="5"/>
    </row>
    <row r="124" spans="1:25" x14ac:dyDescent="0.2">
      <c r="A124" s="3" t="s">
        <v>130</v>
      </c>
      <c r="B124" s="5">
        <v>8077.31</v>
      </c>
      <c r="C124" s="5">
        <v>12301.89</v>
      </c>
      <c r="D124" s="5">
        <v>1233.18</v>
      </c>
      <c r="E124" s="5">
        <v>11960.6</v>
      </c>
      <c r="F124" s="5">
        <v>6817.91</v>
      </c>
      <c r="G124" s="5">
        <v>6648.57</v>
      </c>
      <c r="H124" s="5">
        <v>6732.9</v>
      </c>
      <c r="I124" s="5">
        <v>6748.93</v>
      </c>
      <c r="J124" s="5">
        <v>6634.19</v>
      </c>
      <c r="K124" s="5">
        <v>6826.31</v>
      </c>
      <c r="L124" s="5">
        <v>6298.49</v>
      </c>
      <c r="M124" s="5">
        <v>6762.07</v>
      </c>
      <c r="N124" s="5">
        <v>7391.48</v>
      </c>
      <c r="O124" s="5">
        <v>5757.59</v>
      </c>
      <c r="P124" s="5">
        <v>6248.22</v>
      </c>
      <c r="Q124" s="5">
        <v>6562.47</v>
      </c>
      <c r="R124" s="5">
        <v>6777.34</v>
      </c>
      <c r="S124" s="5">
        <v>7141.37</v>
      </c>
      <c r="T124" s="5">
        <v>7007.15</v>
      </c>
      <c r="U124" s="5">
        <v>8130.97</v>
      </c>
      <c r="V124" s="5">
        <v>7060.63</v>
      </c>
      <c r="W124" s="5"/>
      <c r="X124" s="5"/>
      <c r="Y124" s="5"/>
    </row>
    <row r="125" spans="1:25" x14ac:dyDescent="0.2">
      <c r="A125" s="3" t="s">
        <v>131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/>
      <c r="X125" s="5"/>
      <c r="Y125" s="5"/>
    </row>
    <row r="126" spans="1:25" x14ac:dyDescent="0.2">
      <c r="A126" s="3" t="s">
        <v>132</v>
      </c>
      <c r="B126" s="5">
        <v>0</v>
      </c>
      <c r="C126" s="5">
        <v>1731</v>
      </c>
      <c r="D126" s="5">
        <v>0</v>
      </c>
      <c r="E126" s="5">
        <v>1047.74</v>
      </c>
      <c r="F126" s="5">
        <v>501</v>
      </c>
      <c r="G126" s="5">
        <v>731</v>
      </c>
      <c r="H126" s="5">
        <v>0</v>
      </c>
      <c r="I126" s="5">
        <v>731</v>
      </c>
      <c r="J126" s="5">
        <v>3519</v>
      </c>
      <c r="K126" s="5">
        <v>3506</v>
      </c>
      <c r="L126" s="5">
        <v>1050</v>
      </c>
      <c r="M126" s="5">
        <v>1462</v>
      </c>
      <c r="N126" s="5">
        <v>3138.88</v>
      </c>
      <c r="O126" s="5">
        <v>2007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/>
      <c r="X126" s="5"/>
      <c r="Y126" s="5"/>
    </row>
    <row r="127" spans="1:25" x14ac:dyDescent="0.2">
      <c r="A127" s="3" t="s">
        <v>133</v>
      </c>
      <c r="B127" s="5">
        <v>1800</v>
      </c>
      <c r="C127" s="5">
        <v>1800</v>
      </c>
      <c r="D127" s="5">
        <v>1800</v>
      </c>
      <c r="E127" s="5">
        <v>1800</v>
      </c>
      <c r="F127" s="5">
        <v>1800</v>
      </c>
      <c r="G127" s="5">
        <v>1800</v>
      </c>
      <c r="H127" s="5">
        <v>1800</v>
      </c>
      <c r="I127" s="5">
        <v>1800</v>
      </c>
      <c r="J127" s="5">
        <v>1800</v>
      </c>
      <c r="K127" s="5">
        <v>1800</v>
      </c>
      <c r="L127" s="5">
        <v>1800</v>
      </c>
      <c r="M127" s="5">
        <v>1800</v>
      </c>
      <c r="N127" s="5">
        <v>1800</v>
      </c>
      <c r="O127" s="5">
        <v>1800</v>
      </c>
      <c r="P127" s="5">
        <v>1800</v>
      </c>
      <c r="Q127" s="5">
        <v>1800</v>
      </c>
      <c r="R127" s="5">
        <v>1800</v>
      </c>
      <c r="S127" s="5">
        <v>1800</v>
      </c>
      <c r="T127" s="5">
        <v>1800</v>
      </c>
      <c r="U127" s="5">
        <v>1800</v>
      </c>
      <c r="V127" s="5">
        <v>1800</v>
      </c>
      <c r="W127" s="5"/>
      <c r="X127" s="5"/>
      <c r="Y127" s="5"/>
    </row>
    <row r="128" spans="1:25" x14ac:dyDescent="0.2">
      <c r="A128" s="3" t="s">
        <v>134</v>
      </c>
      <c r="B128" s="5">
        <v>912.27</v>
      </c>
      <c r="C128" s="5">
        <v>1392.21</v>
      </c>
      <c r="D128" s="5">
        <v>1011.9</v>
      </c>
      <c r="E128" s="5">
        <v>1761.9</v>
      </c>
      <c r="F128" s="5">
        <v>1386.9</v>
      </c>
      <c r="G128" s="5">
        <v>1068.5</v>
      </c>
      <c r="H128" s="5">
        <v>1068.5</v>
      </c>
      <c r="I128" s="5">
        <v>1068.5</v>
      </c>
      <c r="J128" s="5">
        <v>1068.5</v>
      </c>
      <c r="K128" s="5">
        <v>1068.5</v>
      </c>
      <c r="L128" s="5">
        <v>1068.5</v>
      </c>
      <c r="M128" s="5">
        <v>693.5</v>
      </c>
      <c r="N128" s="5">
        <v>313.19</v>
      </c>
      <c r="O128" s="5">
        <v>1457.04</v>
      </c>
      <c r="P128" s="5">
        <v>750</v>
      </c>
      <c r="Q128" s="5">
        <v>1782.26</v>
      </c>
      <c r="R128" s="5">
        <v>3273.81</v>
      </c>
      <c r="S128" s="5">
        <v>1073.81</v>
      </c>
      <c r="T128" s="5">
        <v>1073.81</v>
      </c>
      <c r="U128" s="5">
        <v>1073.81</v>
      </c>
      <c r="V128" s="5">
        <v>1198.81</v>
      </c>
      <c r="W128" s="5"/>
      <c r="X128" s="5"/>
      <c r="Y128" s="5"/>
    </row>
    <row r="129" spans="1:25" x14ac:dyDescent="0.2">
      <c r="A129" s="3" t="s">
        <v>135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/>
      <c r="X129" s="5"/>
      <c r="Y129" s="5"/>
    </row>
    <row r="130" spans="1:25" x14ac:dyDescent="0.2">
      <c r="A130" s="3" t="s">
        <v>136</v>
      </c>
      <c r="B130" s="5">
        <v>2066.5300000000002</v>
      </c>
      <c r="C130" s="5">
        <v>2413.06</v>
      </c>
      <c r="D130" s="5">
        <v>0</v>
      </c>
      <c r="E130" s="5">
        <v>3049.98</v>
      </c>
      <c r="F130" s="5">
        <v>2380.91</v>
      </c>
      <c r="G130" s="5">
        <v>2000</v>
      </c>
      <c r="H130" s="5">
        <v>2293.4699999999998</v>
      </c>
      <c r="I130" s="5">
        <v>637.91</v>
      </c>
      <c r="J130" s="5">
        <v>2000</v>
      </c>
      <c r="K130" s="5">
        <v>826</v>
      </c>
      <c r="L130" s="5">
        <v>0</v>
      </c>
      <c r="M130" s="5">
        <v>4434.41</v>
      </c>
      <c r="N130" s="5">
        <v>0</v>
      </c>
      <c r="O130" s="5">
        <v>2000</v>
      </c>
      <c r="P130" s="5">
        <v>2380.91</v>
      </c>
      <c r="Q130" s="5">
        <v>0</v>
      </c>
      <c r="R130" s="5">
        <v>49.99</v>
      </c>
      <c r="S130" s="5">
        <v>2452.31</v>
      </c>
      <c r="T130" s="5">
        <v>4474.7299999999996</v>
      </c>
      <c r="U130" s="5">
        <v>0</v>
      </c>
      <c r="V130" s="5">
        <v>337.91</v>
      </c>
      <c r="W130" s="5"/>
      <c r="X130" s="5"/>
      <c r="Y130" s="5"/>
    </row>
    <row r="131" spans="1:25" x14ac:dyDescent="0.2">
      <c r="A131" s="3" t="s">
        <v>137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/>
      <c r="X131" s="5"/>
      <c r="Y131" s="5"/>
    </row>
    <row r="132" spans="1:25" x14ac:dyDescent="0.2">
      <c r="A132" s="3" t="s">
        <v>138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/>
      <c r="X132" s="5"/>
      <c r="Y132" s="5"/>
    </row>
    <row r="133" spans="1:25" x14ac:dyDescent="0.2">
      <c r="A133" s="3" t="s">
        <v>139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/>
      <c r="X133" s="5"/>
      <c r="Y133" s="5"/>
    </row>
    <row r="134" spans="1:25" x14ac:dyDescent="0.2">
      <c r="A134" s="3" t="s">
        <v>140</v>
      </c>
      <c r="B134" s="5">
        <v>29.17</v>
      </c>
      <c r="C134" s="5">
        <v>26.75</v>
      </c>
      <c r="D134" s="5">
        <v>24.34</v>
      </c>
      <c r="E134" s="5">
        <v>21.92</v>
      </c>
      <c r="F134" s="5">
        <v>19.5</v>
      </c>
      <c r="G134" s="5">
        <v>17.07</v>
      </c>
      <c r="H134" s="5">
        <v>14.64</v>
      </c>
      <c r="I134" s="5">
        <v>12.21</v>
      </c>
      <c r="J134" s="5">
        <v>9.77</v>
      </c>
      <c r="K134" s="5">
        <v>7.33</v>
      </c>
      <c r="L134" s="5">
        <v>4.8899999999999997</v>
      </c>
      <c r="M134" s="5">
        <v>2.58</v>
      </c>
      <c r="N134" s="5">
        <v>0</v>
      </c>
      <c r="O134" s="5">
        <v>0</v>
      </c>
      <c r="P134" s="5">
        <v>122.54</v>
      </c>
      <c r="Q134" s="5">
        <v>120.07</v>
      </c>
      <c r="R134" s="5">
        <v>117.6</v>
      </c>
      <c r="S134" s="5">
        <v>115.13</v>
      </c>
      <c r="T134" s="5">
        <v>112.65</v>
      </c>
      <c r="U134" s="5">
        <v>110.17</v>
      </c>
      <c r="V134" s="5">
        <v>107.68</v>
      </c>
      <c r="W134" s="5"/>
      <c r="X134" s="5"/>
      <c r="Y134" s="5"/>
    </row>
    <row r="135" spans="1:25" x14ac:dyDescent="0.2">
      <c r="A135" s="3" t="s">
        <v>141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/>
      <c r="X135" s="5"/>
      <c r="Y135" s="5"/>
    </row>
    <row r="136" spans="1:25" customFormat="1" ht="14.25" x14ac:dyDescent="0.2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x14ac:dyDescent="0.2">
      <c r="A137" s="3" t="s">
        <v>0</v>
      </c>
      <c r="B137" s="5">
        <f t="shared" ref="B137:V137" si="6">ROUND(SUBTOTAL(9, B114:B136), 5)</f>
        <v>32641.119999999999</v>
      </c>
      <c r="C137" s="5">
        <f t="shared" si="6"/>
        <v>24448.83</v>
      </c>
      <c r="D137" s="5">
        <f t="shared" si="6"/>
        <v>8392.09</v>
      </c>
      <c r="E137" s="5">
        <f t="shared" si="6"/>
        <v>41849.68</v>
      </c>
      <c r="F137" s="5">
        <f t="shared" si="6"/>
        <v>17478.759999999998</v>
      </c>
      <c r="G137" s="5">
        <f t="shared" si="6"/>
        <v>17331.72</v>
      </c>
      <c r="H137" s="5">
        <f t="shared" si="6"/>
        <v>35800.370000000003</v>
      </c>
      <c r="I137" s="5">
        <f t="shared" si="6"/>
        <v>15574.74</v>
      </c>
      <c r="J137" s="5">
        <f t="shared" si="6"/>
        <v>25545.5</v>
      </c>
      <c r="K137" s="5">
        <f t="shared" si="6"/>
        <v>43462.3</v>
      </c>
      <c r="L137" s="5">
        <f t="shared" si="6"/>
        <v>13901.57</v>
      </c>
      <c r="M137" s="5">
        <f t="shared" si="6"/>
        <v>21321.42</v>
      </c>
      <c r="N137" s="5">
        <f t="shared" si="6"/>
        <v>36622.01</v>
      </c>
      <c r="O137" s="5">
        <f t="shared" si="6"/>
        <v>18283.080000000002</v>
      </c>
      <c r="P137" s="5">
        <f t="shared" si="6"/>
        <v>29920.73</v>
      </c>
      <c r="Q137" s="5">
        <f t="shared" si="6"/>
        <v>20759.05</v>
      </c>
      <c r="R137" s="5">
        <f t="shared" si="6"/>
        <v>15971.94</v>
      </c>
      <c r="S137" s="5">
        <f t="shared" si="6"/>
        <v>17948.52</v>
      </c>
      <c r="T137" s="5">
        <f t="shared" si="6"/>
        <v>21759.93</v>
      </c>
      <c r="U137" s="5">
        <f t="shared" si="6"/>
        <v>33624.089999999997</v>
      </c>
      <c r="V137" s="5">
        <f t="shared" si="6"/>
        <v>15442.76</v>
      </c>
      <c r="W137" s="5"/>
      <c r="X137" s="5"/>
      <c r="Y137" s="5"/>
    </row>
    <row r="138" spans="1:25" customFormat="1" ht="14.25" x14ac:dyDescent="0.2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x14ac:dyDescent="0.2">
      <c r="A139" s="3" t="s">
        <v>0</v>
      </c>
    </row>
    <row r="140" spans="1:25" x14ac:dyDescent="0.2">
      <c r="A140" s="3" t="s">
        <v>142</v>
      </c>
      <c r="B140" s="5">
        <f t="shared" ref="B140:V140" si="7">ROUND(B42+B67+B95+B112+B137+SUBTOTAL(9, B139:B139), 5)</f>
        <v>376190.43475000001</v>
      </c>
      <c r="C140" s="5">
        <f t="shared" si="7"/>
        <v>489457.99955000001</v>
      </c>
      <c r="D140" s="5">
        <f t="shared" si="7"/>
        <v>417428.03425000003</v>
      </c>
      <c r="E140" s="5">
        <f t="shared" si="7"/>
        <v>733159.09904999996</v>
      </c>
      <c r="F140" s="5">
        <f t="shared" si="7"/>
        <v>444851.20624999999</v>
      </c>
      <c r="G140" s="5">
        <f t="shared" si="7"/>
        <v>494034.39299999998</v>
      </c>
      <c r="H140" s="5">
        <f t="shared" si="7"/>
        <v>470254.40629999997</v>
      </c>
      <c r="I140" s="5">
        <f t="shared" si="7"/>
        <v>509307.32789999997</v>
      </c>
      <c r="J140" s="5">
        <f t="shared" si="7"/>
        <v>969355.73245000001</v>
      </c>
      <c r="K140" s="5">
        <f t="shared" si="7"/>
        <v>482730.58350000001</v>
      </c>
      <c r="L140" s="5">
        <f t="shared" si="7"/>
        <v>829426.77269999997</v>
      </c>
      <c r="M140" s="5">
        <f t="shared" si="7"/>
        <v>848401.31169999996</v>
      </c>
      <c r="N140" s="5">
        <f t="shared" si="7"/>
        <v>422871.3702</v>
      </c>
      <c r="O140" s="5">
        <f t="shared" si="7"/>
        <v>444773.18754999997</v>
      </c>
      <c r="P140" s="5">
        <f t="shared" si="7"/>
        <v>602246.28749999998</v>
      </c>
      <c r="Q140" s="5">
        <f t="shared" si="7"/>
        <v>443133.43459999998</v>
      </c>
      <c r="R140" s="5">
        <f t="shared" si="7"/>
        <v>420300.37134999997</v>
      </c>
      <c r="S140" s="5">
        <f t="shared" si="7"/>
        <v>467275.93345000001</v>
      </c>
      <c r="T140" s="5">
        <f t="shared" si="7"/>
        <v>432300.73654999997</v>
      </c>
      <c r="U140" s="5">
        <f t="shared" si="7"/>
        <v>848703.41394999996</v>
      </c>
      <c r="V140" s="5">
        <f t="shared" si="7"/>
        <v>524122.81985000003</v>
      </c>
      <c r="W140" s="5"/>
      <c r="X140" s="5"/>
      <c r="Y140" s="5"/>
    </row>
    <row r="141" spans="1:25" customFormat="1" ht="14.25" x14ac:dyDescent="0.2">
      <c r="A141" s="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x14ac:dyDescent="0.2">
      <c r="A142" s="3" t="s">
        <v>0</v>
      </c>
    </row>
    <row r="143" spans="1:25" x14ac:dyDescent="0.2">
      <c r="A143" s="3" t="s">
        <v>143</v>
      </c>
    </row>
    <row r="144" spans="1:25" x14ac:dyDescent="0.2">
      <c r="A144" s="3" t="s">
        <v>144</v>
      </c>
      <c r="B144" s="5">
        <v>2634.4</v>
      </c>
      <c r="C144" s="5">
        <v>95.63</v>
      </c>
      <c r="D144" s="5">
        <v>5435.37</v>
      </c>
      <c r="E144" s="5">
        <v>1477.21</v>
      </c>
      <c r="F144" s="5">
        <v>280.17</v>
      </c>
      <c r="G144" s="5">
        <v>4870.63</v>
      </c>
      <c r="H144" s="5">
        <v>1720.73</v>
      </c>
      <c r="I144" s="5">
        <v>25606.85</v>
      </c>
      <c r="J144" s="5">
        <v>894.06</v>
      </c>
      <c r="K144" s="5">
        <v>1161.02</v>
      </c>
      <c r="L144" s="5">
        <v>11089.48</v>
      </c>
      <c r="M144" s="5">
        <v>17331.990000000002</v>
      </c>
      <c r="N144" s="5">
        <v>11990.06</v>
      </c>
      <c r="O144" s="5">
        <v>9497.6</v>
      </c>
      <c r="P144" s="5">
        <v>15522.94</v>
      </c>
      <c r="Q144" s="5">
        <v>12085.17</v>
      </c>
      <c r="R144" s="5">
        <v>12866.03</v>
      </c>
      <c r="S144" s="5">
        <v>15929.03</v>
      </c>
      <c r="T144" s="5">
        <v>12226.38</v>
      </c>
      <c r="U144" s="5">
        <v>12968.06</v>
      </c>
      <c r="V144" s="5">
        <v>10830.35</v>
      </c>
      <c r="W144" s="5"/>
      <c r="X144" s="5"/>
      <c r="Y144" s="5"/>
    </row>
    <row r="145" spans="1:25" x14ac:dyDescent="0.2">
      <c r="A145" s="3" t="s">
        <v>145</v>
      </c>
      <c r="B145" s="5">
        <v>0</v>
      </c>
      <c r="C145" s="5">
        <v>26.06</v>
      </c>
      <c r="D145" s="5">
        <v>41.16</v>
      </c>
      <c r="E145" s="5">
        <v>51.37</v>
      </c>
      <c r="F145" s="5">
        <v>91.93</v>
      </c>
      <c r="G145" s="5">
        <v>99.71</v>
      </c>
      <c r="H145" s="5">
        <v>124.36</v>
      </c>
      <c r="I145" s="5">
        <v>161.55000000000001</v>
      </c>
      <c r="J145" s="5">
        <v>114.39</v>
      </c>
      <c r="K145" s="5">
        <v>95.25</v>
      </c>
      <c r="L145" s="5">
        <v>59.63</v>
      </c>
      <c r="M145" s="5">
        <v>42.34</v>
      </c>
      <c r="N145" s="5">
        <v>14.72</v>
      </c>
      <c r="O145" s="5">
        <v>21.24</v>
      </c>
      <c r="P145" s="5">
        <v>28.22</v>
      </c>
      <c r="Q145" s="5">
        <v>45.16</v>
      </c>
      <c r="R145" s="5">
        <v>58.68</v>
      </c>
      <c r="S145" s="5">
        <v>58.33</v>
      </c>
      <c r="T145" s="5">
        <v>56.78</v>
      </c>
      <c r="U145" s="5">
        <v>90.99</v>
      </c>
      <c r="V145" s="5">
        <v>110.42</v>
      </c>
      <c r="W145" s="5"/>
      <c r="X145" s="5"/>
      <c r="Y145" s="5"/>
    </row>
    <row r="146" spans="1:25" x14ac:dyDescent="0.2">
      <c r="A146" s="3" t="s">
        <v>146</v>
      </c>
      <c r="B146" s="5">
        <v>0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/>
      <c r="X146" s="5"/>
      <c r="Y146" s="5"/>
    </row>
    <row r="147" spans="1:25" customFormat="1" ht="14.25" x14ac:dyDescent="0.2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x14ac:dyDescent="0.2">
      <c r="A148" s="3" t="s">
        <v>0</v>
      </c>
      <c r="B148" s="5">
        <f t="shared" ref="B148:V148" si="8">ROUND(SUBTOTAL(9, B142:B147), 5)</f>
        <v>2634.4</v>
      </c>
      <c r="C148" s="5">
        <f t="shared" si="8"/>
        <v>121.69</v>
      </c>
      <c r="D148" s="5">
        <f t="shared" si="8"/>
        <v>5476.53</v>
      </c>
      <c r="E148" s="5">
        <f t="shared" si="8"/>
        <v>1528.58</v>
      </c>
      <c r="F148" s="5">
        <f t="shared" si="8"/>
        <v>372.1</v>
      </c>
      <c r="G148" s="5">
        <f t="shared" si="8"/>
        <v>4970.34</v>
      </c>
      <c r="H148" s="5">
        <f t="shared" si="8"/>
        <v>1845.09</v>
      </c>
      <c r="I148" s="5">
        <f t="shared" si="8"/>
        <v>25768.400000000001</v>
      </c>
      <c r="J148" s="5">
        <f t="shared" si="8"/>
        <v>1008.45</v>
      </c>
      <c r="K148" s="5">
        <f t="shared" si="8"/>
        <v>1256.27</v>
      </c>
      <c r="L148" s="5">
        <f t="shared" si="8"/>
        <v>11149.11</v>
      </c>
      <c r="M148" s="5">
        <f t="shared" si="8"/>
        <v>17374.330000000002</v>
      </c>
      <c r="N148" s="5">
        <f t="shared" si="8"/>
        <v>12004.78</v>
      </c>
      <c r="O148" s="5">
        <f t="shared" si="8"/>
        <v>9518.84</v>
      </c>
      <c r="P148" s="5">
        <f t="shared" si="8"/>
        <v>15551.16</v>
      </c>
      <c r="Q148" s="5">
        <f t="shared" si="8"/>
        <v>12130.33</v>
      </c>
      <c r="R148" s="5">
        <f t="shared" si="8"/>
        <v>12924.71</v>
      </c>
      <c r="S148" s="5">
        <f t="shared" si="8"/>
        <v>15987.36</v>
      </c>
      <c r="T148" s="5">
        <f t="shared" si="8"/>
        <v>12283.16</v>
      </c>
      <c r="U148" s="5">
        <f t="shared" si="8"/>
        <v>13059.05</v>
      </c>
      <c r="V148" s="5">
        <f t="shared" si="8"/>
        <v>10940.77</v>
      </c>
      <c r="W148" s="5"/>
      <c r="X148" s="5"/>
      <c r="Y148" s="5"/>
    </row>
    <row r="149" spans="1:25" customFormat="1" ht="14.25" x14ac:dyDescent="0.2">
      <c r="A149" s="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x14ac:dyDescent="0.2">
      <c r="A150" s="3" t="s">
        <v>0</v>
      </c>
    </row>
    <row r="151" spans="1:25" ht="13.5" thickBot="1" x14ac:dyDescent="0.25">
      <c r="A151" s="3" t="s">
        <v>147</v>
      </c>
      <c r="B151" s="5">
        <f t="shared" ref="B151:V151" si="9">-(ROUND(-B15+B140+-B148-SUBTOTAL(9, B150:B150), 5))</f>
        <v>340202.69774999999</v>
      </c>
      <c r="C151" s="5">
        <f t="shared" si="9"/>
        <v>121948.43045</v>
      </c>
      <c r="D151" s="5">
        <f t="shared" si="9"/>
        <v>241849.15700000001</v>
      </c>
      <c r="E151" s="5">
        <f t="shared" si="9"/>
        <v>-56441.444049999998</v>
      </c>
      <c r="F151" s="5">
        <f t="shared" si="9"/>
        <v>235883.17249999999</v>
      </c>
      <c r="G151" s="5">
        <f t="shared" si="9"/>
        <v>120967.4295</v>
      </c>
      <c r="H151" s="5">
        <f t="shared" si="9"/>
        <v>269089.61619999999</v>
      </c>
      <c r="I151" s="5">
        <f t="shared" si="9"/>
        <v>340102.17335</v>
      </c>
      <c r="J151" s="4">
        <f t="shared" si="9"/>
        <v>-291247.01244999998</v>
      </c>
      <c r="K151" s="4">
        <f t="shared" si="9"/>
        <v>315229.01150000002</v>
      </c>
      <c r="L151" s="4">
        <f t="shared" si="9"/>
        <v>-167748.0852</v>
      </c>
      <c r="M151" s="4">
        <f t="shared" si="9"/>
        <v>-243153.01920000001</v>
      </c>
      <c r="N151" s="5">
        <f t="shared" si="9"/>
        <v>286040.92</v>
      </c>
      <c r="O151" s="5">
        <f t="shared" si="9"/>
        <v>200738.4412</v>
      </c>
      <c r="P151" s="5">
        <f t="shared" si="9"/>
        <v>71725.162500000006</v>
      </c>
      <c r="Q151" s="5">
        <f t="shared" si="9"/>
        <v>248909.5079</v>
      </c>
      <c r="R151" s="5">
        <f t="shared" si="9"/>
        <v>192145.60990000001</v>
      </c>
      <c r="S151" s="4">
        <f t="shared" si="9"/>
        <v>25034.581549999999</v>
      </c>
      <c r="T151" s="4">
        <f t="shared" si="9"/>
        <v>505524.00442999997</v>
      </c>
      <c r="U151" s="4">
        <f t="shared" si="9"/>
        <v>95664.806049999999</v>
      </c>
      <c r="V151" s="4">
        <f t="shared" si="9"/>
        <v>257133.89765</v>
      </c>
      <c r="W151" s="4"/>
      <c r="X151" s="4"/>
      <c r="Y151" s="4"/>
    </row>
    <row r="152" spans="1:25" customFormat="1" ht="15.75" thickTop="1" thickBot="1" x14ac:dyDescent="0.25">
      <c r="A152" s="9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</sheetData>
  <mergeCells count="5">
    <mergeCell ref="A1:N1"/>
    <mergeCell ref="A2:N2"/>
    <mergeCell ref="A3:N3"/>
    <mergeCell ref="A4:N4"/>
    <mergeCell ref="A5:N5"/>
  </mergeCells>
  <pageMargins left="0.7" right="0.7" top="0.75" bottom="0.65277777777777779" header="0.3" footer="0.3"/>
  <pageSetup orientation="landscape" r:id="rId1"/>
  <headerFooter>
    <oddFooter>&amp;L&amp;10&amp;"Times New Roman"&amp;D at &amp;T&amp;R&amp;10&amp;"Times New Roman"Page: &amp;P&amp;C&amp;10&amp;"Times New Roman"For Management Purposes Only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Y63"/>
  <sheetViews>
    <sheetView topLeftCell="U1" zoomScale="150" zoomScaleNormal="150" workbookViewId="0">
      <pane ySplit="7" topLeftCell="A8" activePane="bottomLeft" state="frozenSplit"/>
      <selection pane="bottomLeft" activeCell="Y8" sqref="Y8"/>
    </sheetView>
  </sheetViews>
  <sheetFormatPr defaultRowHeight="12.75" x14ac:dyDescent="0.2"/>
  <cols>
    <col min="1" max="1" width="31.625" style="1" customWidth="1"/>
    <col min="2" max="2" width="26.625" style="1" customWidth="1"/>
    <col min="3" max="25" width="14.625" style="1" customWidth="1"/>
    <col min="26" max="16384" width="9" style="1"/>
  </cols>
  <sheetData>
    <row r="1" spans="1:25" x14ac:dyDescent="0.2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25" x14ac:dyDescent="0.2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25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25" x14ac:dyDescent="0.2">
      <c r="A4" s="128" t="s">
        <v>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25" ht="14.25" x14ac:dyDescent="0.2">
      <c r="A5" s="37"/>
      <c r="B5">
        <f>IF(B6&lt;='Financial Summary - Final'!$A$1,1,0)</f>
        <v>1</v>
      </c>
      <c r="C5">
        <f>IF(C6&lt;='Financial Summary - Final'!$A$1,1,0)</f>
        <v>1</v>
      </c>
      <c r="D5">
        <f>IF(D6&lt;='Financial Summary - Final'!$A$1,1,0)</f>
        <v>1</v>
      </c>
      <c r="E5">
        <f>IF(E6&lt;='Financial Summary - Final'!$A$1,1,0)</f>
        <v>1</v>
      </c>
      <c r="F5">
        <f>IF(F6&lt;='Financial Summary - Final'!$A$1,1,0)</f>
        <v>1</v>
      </c>
      <c r="G5">
        <f>IF(G6&lt;='Financial Summary - Final'!$A$1,1,0)</f>
        <v>1</v>
      </c>
      <c r="H5">
        <f>IF(H6&lt;='Financial Summary - Final'!$A$1,1,0)</f>
        <v>1</v>
      </c>
      <c r="I5">
        <f>IF(I6&lt;='Financial Summary - Final'!$A$1,1,0)</f>
        <v>1</v>
      </c>
      <c r="J5">
        <f>IF(J6&lt;='Financial Summary - Final'!$A$1,1,0)</f>
        <v>1</v>
      </c>
      <c r="K5">
        <f>IF(K6&lt;='Financial Summary - Final'!$A$1,1,0)</f>
        <v>0</v>
      </c>
      <c r="L5">
        <f>IF(L6&lt;='Financial Summary - Final'!$A$1,1,0)</f>
        <v>0</v>
      </c>
      <c r="M5">
        <f>IF(M6&lt;='Financial Summary - Final'!$A$1,1,0)</f>
        <v>0</v>
      </c>
      <c r="N5">
        <f>IF(N6&lt;='Financial Summary - Final'!$A$1,1,0)</f>
        <v>1</v>
      </c>
      <c r="O5">
        <f>IF(O6&lt;='Financial Summary - Final'!$A$1,1,0)</f>
        <v>1</v>
      </c>
      <c r="P5">
        <f>IF(P6&lt;='Financial Summary - Final'!$A$1,1,0)</f>
        <v>1</v>
      </c>
      <c r="Q5">
        <f>IF(Q6&lt;='Financial Summary - Final'!$A$1,1,0)</f>
        <v>1</v>
      </c>
      <c r="R5">
        <f>IF(R6&lt;='Financial Summary - Final'!$A$1,1,0)</f>
        <v>1</v>
      </c>
      <c r="S5">
        <f>IF(S6&lt;='Financial Summary - Final'!$A$1,1,0)</f>
        <v>1</v>
      </c>
      <c r="T5">
        <f>IF(T6&lt;='Financial Summary - Final'!$A$1,1,0)</f>
        <v>1</v>
      </c>
      <c r="U5">
        <f>IF(U6&lt;='Financial Summary - Final'!$A$1,1,0)</f>
        <v>1</v>
      </c>
      <c r="V5">
        <f>IF(V6&lt;='Financial Summary - Final'!$A$1,1,0)</f>
        <v>1</v>
      </c>
      <c r="W5">
        <f>IF(W6&lt;='Financial Summary - Final'!$A$1,1,0)</f>
        <v>0</v>
      </c>
      <c r="X5">
        <f>IF(X6&lt;='Financial Summary - Final'!$A$1,1,0)</f>
        <v>0</v>
      </c>
      <c r="Y5">
        <f>IF(Y6&lt;='Financial Summary - Final'!$A$1,1,0)</f>
        <v>0</v>
      </c>
    </row>
    <row r="6" spans="1:25" ht="14.25" x14ac:dyDescent="0.2">
      <c r="A6" s="37"/>
      <c r="B6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J6">
        <v>9</v>
      </c>
      <c r="K6">
        <v>10</v>
      </c>
      <c r="L6">
        <v>11</v>
      </c>
      <c r="M6">
        <v>12</v>
      </c>
      <c r="N6">
        <v>1</v>
      </c>
      <c r="O6">
        <v>2</v>
      </c>
      <c r="P6">
        <v>3</v>
      </c>
      <c r="Q6">
        <v>4</v>
      </c>
      <c r="R6">
        <v>5</v>
      </c>
      <c r="S6">
        <v>6</v>
      </c>
      <c r="T6">
        <v>7</v>
      </c>
      <c r="U6">
        <v>8</v>
      </c>
      <c r="V6">
        <v>9</v>
      </c>
      <c r="W6">
        <v>10</v>
      </c>
      <c r="X6">
        <v>11</v>
      </c>
      <c r="Y6">
        <v>12</v>
      </c>
    </row>
    <row r="7" spans="1:25" s="33" customFormat="1" x14ac:dyDescent="0.2">
      <c r="A7" s="34"/>
      <c r="B7" s="34">
        <v>42400</v>
      </c>
      <c r="C7" s="34">
        <v>42428</v>
      </c>
      <c r="D7" s="34">
        <v>42460</v>
      </c>
      <c r="E7" s="34">
        <v>42490</v>
      </c>
      <c r="F7" s="34">
        <v>42521</v>
      </c>
      <c r="G7" s="34">
        <v>42551</v>
      </c>
      <c r="H7" s="34">
        <v>42582</v>
      </c>
      <c r="I7" s="34">
        <v>42613</v>
      </c>
      <c r="J7" s="34">
        <v>42643</v>
      </c>
      <c r="K7" s="34">
        <v>42674</v>
      </c>
      <c r="L7" s="34">
        <v>42704</v>
      </c>
      <c r="M7" s="34">
        <v>42735</v>
      </c>
      <c r="N7" s="34">
        <v>42766</v>
      </c>
      <c r="O7" s="34">
        <v>42794</v>
      </c>
      <c r="P7" s="34">
        <v>42825</v>
      </c>
      <c r="Q7" s="34">
        <v>42855</v>
      </c>
      <c r="R7" s="34">
        <v>42886</v>
      </c>
      <c r="S7" s="34">
        <v>42916</v>
      </c>
      <c r="T7" s="34">
        <v>42947</v>
      </c>
      <c r="U7" s="34">
        <v>42978</v>
      </c>
      <c r="V7" s="34">
        <v>43008</v>
      </c>
      <c r="W7" s="34">
        <v>43039</v>
      </c>
      <c r="X7" s="34">
        <v>43069</v>
      </c>
      <c r="Y7" s="34">
        <v>43100</v>
      </c>
    </row>
    <row r="8" spans="1:25" x14ac:dyDescent="0.2">
      <c r="A8" s="2" t="s">
        <v>1</v>
      </c>
    </row>
    <row r="9" spans="1:25" x14ac:dyDescent="0.2">
      <c r="A9" s="2" t="s">
        <v>0</v>
      </c>
    </row>
    <row r="10" spans="1:25" x14ac:dyDescent="0.2">
      <c r="A10" s="3" t="s">
        <v>2</v>
      </c>
    </row>
    <row r="11" spans="1:25" x14ac:dyDescent="0.2">
      <c r="A11" s="3" t="s">
        <v>3</v>
      </c>
      <c r="B11" s="4">
        <v>100</v>
      </c>
      <c r="C11" s="5">
        <v>100</v>
      </c>
      <c r="D11" s="5">
        <v>100</v>
      </c>
      <c r="E11" s="5">
        <v>100</v>
      </c>
      <c r="F11" s="5">
        <v>100</v>
      </c>
      <c r="G11" s="5">
        <v>100</v>
      </c>
      <c r="H11" s="5">
        <v>100</v>
      </c>
      <c r="I11" s="5">
        <v>100</v>
      </c>
      <c r="J11" s="5">
        <v>100</v>
      </c>
      <c r="K11" s="5">
        <v>100</v>
      </c>
      <c r="L11" s="5">
        <v>100</v>
      </c>
      <c r="M11" s="5">
        <v>100</v>
      </c>
      <c r="N11" s="5">
        <v>100</v>
      </c>
      <c r="O11" s="5">
        <v>100</v>
      </c>
      <c r="P11" s="5">
        <v>100</v>
      </c>
      <c r="Q11" s="5">
        <v>100</v>
      </c>
      <c r="R11" s="5">
        <v>100</v>
      </c>
      <c r="S11" s="5">
        <v>100</v>
      </c>
      <c r="T11" s="5">
        <v>100</v>
      </c>
      <c r="U11" s="5">
        <v>100</v>
      </c>
      <c r="V11" s="5">
        <v>100</v>
      </c>
      <c r="W11" s="5"/>
      <c r="X11" s="5"/>
      <c r="Y11" s="5"/>
    </row>
    <row r="12" spans="1:25" x14ac:dyDescent="0.2">
      <c r="A12" s="3" t="s">
        <v>4</v>
      </c>
      <c r="B12" s="5">
        <v>-421.16</v>
      </c>
      <c r="C12" s="5">
        <v>-2657.49</v>
      </c>
      <c r="D12" s="5">
        <v>-4886.09</v>
      </c>
      <c r="E12" s="5">
        <v>0</v>
      </c>
      <c r="F12" s="5">
        <v>-2175.1999999999998</v>
      </c>
      <c r="G12" s="5">
        <v>0</v>
      </c>
      <c r="H12" s="5">
        <v>0</v>
      </c>
      <c r="I12" s="5">
        <v>0</v>
      </c>
      <c r="J12" s="5">
        <v>0</v>
      </c>
      <c r="K12" s="5">
        <v>-940.78</v>
      </c>
      <c r="L12" s="5">
        <v>0</v>
      </c>
      <c r="M12" s="5">
        <v>0</v>
      </c>
      <c r="N12" s="5">
        <v>0</v>
      </c>
      <c r="O12" s="5">
        <v>0</v>
      </c>
      <c r="P12" s="5">
        <v>-69.05</v>
      </c>
      <c r="Q12" s="5">
        <v>0</v>
      </c>
      <c r="R12" s="5">
        <v>-50</v>
      </c>
      <c r="S12" s="5">
        <v>0</v>
      </c>
      <c r="T12" s="5">
        <v>99.9</v>
      </c>
      <c r="U12" s="5">
        <v>0</v>
      </c>
      <c r="V12" s="5">
        <v>30</v>
      </c>
      <c r="W12" s="5"/>
      <c r="X12" s="5"/>
      <c r="Y12" s="5"/>
    </row>
    <row r="13" spans="1:25" x14ac:dyDescent="0.2">
      <c r="A13" s="3" t="s">
        <v>190</v>
      </c>
      <c r="B13" s="5">
        <v>17017.099999999999</v>
      </c>
      <c r="C13" s="5">
        <v>86421.119999999995</v>
      </c>
      <c r="D13" s="5">
        <v>76566.48</v>
      </c>
      <c r="E13" s="5">
        <v>90600.74</v>
      </c>
      <c r="F13" s="5">
        <v>147936.1</v>
      </c>
      <c r="G13" s="5">
        <v>34811.15</v>
      </c>
      <c r="H13" s="5">
        <v>11095.41</v>
      </c>
      <c r="I13" s="5">
        <v>11812.97</v>
      </c>
      <c r="J13" s="5">
        <v>127331.92</v>
      </c>
      <c r="K13" s="5">
        <v>142841.56</v>
      </c>
      <c r="L13" s="5">
        <v>147534.79</v>
      </c>
      <c r="M13" s="5">
        <v>29052.49</v>
      </c>
      <c r="N13" s="5">
        <v>29665.63</v>
      </c>
      <c r="O13" s="5">
        <v>38136.620000000003</v>
      </c>
      <c r="P13" s="5">
        <v>-80930.77</v>
      </c>
      <c r="Q13" s="5">
        <v>152960.57</v>
      </c>
      <c r="R13" s="5">
        <v>109513.4</v>
      </c>
      <c r="S13" s="5">
        <v>100120.47</v>
      </c>
      <c r="T13" s="5">
        <v>75260.960000000006</v>
      </c>
      <c r="U13" s="5">
        <v>105435.68</v>
      </c>
      <c r="V13" s="5">
        <v>22551.01</v>
      </c>
      <c r="W13" s="5"/>
      <c r="X13" s="5"/>
      <c r="Y13" s="5"/>
    </row>
    <row r="14" spans="1:25" x14ac:dyDescent="0.2">
      <c r="A14" s="3" t="s">
        <v>191</v>
      </c>
      <c r="B14" s="5">
        <v>95723.93</v>
      </c>
      <c r="C14" s="5">
        <v>85930.11</v>
      </c>
      <c r="D14" s="5">
        <v>259787.97</v>
      </c>
      <c r="E14" s="5">
        <v>218133.9</v>
      </c>
      <c r="F14" s="5">
        <v>375558.72</v>
      </c>
      <c r="G14" s="5">
        <v>493564.07</v>
      </c>
      <c r="H14" s="5">
        <v>634867.63</v>
      </c>
      <c r="I14" s="5">
        <v>858878.26</v>
      </c>
      <c r="J14" s="5">
        <v>337785.06</v>
      </c>
      <c r="K14" s="5">
        <v>454913.37</v>
      </c>
      <c r="L14" s="5">
        <v>186707.08</v>
      </c>
      <c r="M14" s="5">
        <v>43399.89</v>
      </c>
      <c r="N14" s="5">
        <v>137285.04999999999</v>
      </c>
      <c r="O14" s="5">
        <v>223612.87</v>
      </c>
      <c r="P14" s="5">
        <v>259570.69</v>
      </c>
      <c r="Q14" s="5">
        <v>145069.73000000001</v>
      </c>
      <c r="R14" s="5">
        <v>311849.36</v>
      </c>
      <c r="S14" s="5">
        <v>297300.26</v>
      </c>
      <c r="T14" s="5">
        <v>393142</v>
      </c>
      <c r="U14" s="5">
        <v>426146.75</v>
      </c>
      <c r="V14" s="5">
        <v>740023.99</v>
      </c>
      <c r="W14" s="5"/>
      <c r="X14" s="5"/>
      <c r="Y14" s="5"/>
    </row>
    <row r="15" spans="1:25" x14ac:dyDescent="0.2">
      <c r="A15" s="3" t="s">
        <v>189</v>
      </c>
      <c r="B15" s="5">
        <v>51976.9</v>
      </c>
      <c r="C15" s="5">
        <v>68496.899999999994</v>
      </c>
      <c r="D15" s="5">
        <v>85016.9</v>
      </c>
      <c r="E15" s="5">
        <v>101536.9</v>
      </c>
      <c r="F15" s="5">
        <v>118056.9</v>
      </c>
      <c r="G15" s="5">
        <v>134576.9</v>
      </c>
      <c r="H15" s="5">
        <v>151096.9</v>
      </c>
      <c r="I15" s="5">
        <v>167616.9</v>
      </c>
      <c r="J15" s="5">
        <v>184136.9</v>
      </c>
      <c r="K15" s="5">
        <v>200656.9</v>
      </c>
      <c r="L15" s="5">
        <v>253024.9</v>
      </c>
      <c r="M15" s="5">
        <v>269559.07</v>
      </c>
      <c r="N15" s="5">
        <v>286454.07</v>
      </c>
      <c r="O15" s="5">
        <v>80157.8</v>
      </c>
      <c r="P15" s="5">
        <v>97052.800000000003</v>
      </c>
      <c r="Q15" s="5">
        <v>113947.8</v>
      </c>
      <c r="R15" s="5">
        <v>130842.8</v>
      </c>
      <c r="S15" s="5">
        <v>147737.79999999999</v>
      </c>
      <c r="T15" s="5">
        <v>164632.79999999999</v>
      </c>
      <c r="U15" s="5">
        <v>181527.8</v>
      </c>
      <c r="V15" s="5">
        <v>198422.8</v>
      </c>
      <c r="W15" s="5"/>
      <c r="X15" s="5"/>
      <c r="Y15" s="5"/>
    </row>
    <row r="16" spans="1:25" x14ac:dyDescent="0.2">
      <c r="A16" s="3" t="s">
        <v>5</v>
      </c>
      <c r="B16" s="5">
        <v>540229.179999999</v>
      </c>
      <c r="C16" s="5">
        <v>551244.22999999905</v>
      </c>
      <c r="D16" s="5">
        <v>544477.71999999904</v>
      </c>
      <c r="E16" s="5">
        <v>537962.60999999905</v>
      </c>
      <c r="F16" s="5">
        <v>463264.049999999</v>
      </c>
      <c r="G16" s="5">
        <v>455426.05999999901</v>
      </c>
      <c r="H16" s="5">
        <v>507393.38999999902</v>
      </c>
      <c r="I16" s="5">
        <v>493530.03999999899</v>
      </c>
      <c r="J16" s="5">
        <v>487786.679999999</v>
      </c>
      <c r="K16" s="5">
        <v>533082.75999999896</v>
      </c>
      <c r="L16" s="5">
        <v>468913.00999999902</v>
      </c>
      <c r="M16" s="5">
        <v>356889.61999999901</v>
      </c>
      <c r="N16" s="5">
        <v>445556.14999999898</v>
      </c>
      <c r="O16" s="5">
        <v>448121.89999999898</v>
      </c>
      <c r="P16" s="5">
        <v>443455.71999999898</v>
      </c>
      <c r="Q16" s="5">
        <v>462224.88999999902</v>
      </c>
      <c r="R16" s="5">
        <v>349958.94999999902</v>
      </c>
      <c r="S16" s="5">
        <v>385988.40999999898</v>
      </c>
      <c r="T16" s="5">
        <v>764426.02999999898</v>
      </c>
      <c r="U16" s="5">
        <v>709632.41999999899</v>
      </c>
      <c r="V16" s="5">
        <v>558380.12999999896</v>
      </c>
      <c r="W16" s="5"/>
      <c r="X16" s="5"/>
      <c r="Y16" s="5"/>
    </row>
    <row r="17" spans="1:25" customFormat="1" ht="14.25" x14ac:dyDescent="0.2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x14ac:dyDescent="0.2">
      <c r="A18" s="3" t="s">
        <v>6</v>
      </c>
      <c r="B18" s="5">
        <f t="shared" ref="B18:V18" si="0">ROUND(SUBTOTAL(9, B8:B17), 5)</f>
        <v>704625.95</v>
      </c>
      <c r="C18" s="5">
        <f t="shared" si="0"/>
        <v>789534.87</v>
      </c>
      <c r="D18" s="5">
        <f t="shared" si="0"/>
        <v>961062.98</v>
      </c>
      <c r="E18" s="5">
        <f t="shared" si="0"/>
        <v>948334.15</v>
      </c>
      <c r="F18" s="5">
        <f t="shared" si="0"/>
        <v>1102740.57</v>
      </c>
      <c r="G18" s="5">
        <f t="shared" si="0"/>
        <v>1118478.18</v>
      </c>
      <c r="H18" s="5">
        <f t="shared" si="0"/>
        <v>1304553.33</v>
      </c>
      <c r="I18" s="5">
        <f t="shared" si="0"/>
        <v>1531938.17</v>
      </c>
      <c r="J18" s="5">
        <f t="shared" si="0"/>
        <v>1137140.56</v>
      </c>
      <c r="K18" s="5">
        <f t="shared" si="0"/>
        <v>1330653.81</v>
      </c>
      <c r="L18" s="5">
        <f t="shared" si="0"/>
        <v>1056279.78</v>
      </c>
      <c r="M18" s="5">
        <f t="shared" si="0"/>
        <v>699001.07</v>
      </c>
      <c r="N18" s="5">
        <f t="shared" si="0"/>
        <v>899060.9</v>
      </c>
      <c r="O18" s="5">
        <f t="shared" si="0"/>
        <v>790129.19</v>
      </c>
      <c r="P18" s="5">
        <f t="shared" si="0"/>
        <v>719179.39</v>
      </c>
      <c r="Q18" s="5">
        <f t="shared" si="0"/>
        <v>874302.99</v>
      </c>
      <c r="R18" s="5">
        <f t="shared" si="0"/>
        <v>902214.51</v>
      </c>
      <c r="S18" s="5">
        <f t="shared" si="0"/>
        <v>931246.94</v>
      </c>
      <c r="T18" s="5">
        <f t="shared" si="0"/>
        <v>1397661.69</v>
      </c>
      <c r="U18" s="5">
        <f t="shared" si="0"/>
        <v>1422842.65</v>
      </c>
      <c r="V18" s="5">
        <f t="shared" si="0"/>
        <v>1519507.93</v>
      </c>
      <c r="W18" s="5"/>
      <c r="X18" s="5"/>
      <c r="Y18" s="5"/>
    </row>
    <row r="19" spans="1:25" x14ac:dyDescent="0.2">
      <c r="A19" s="2" t="s">
        <v>0</v>
      </c>
    </row>
    <row r="20" spans="1:25" x14ac:dyDescent="0.2">
      <c r="A20" s="3" t="s">
        <v>7</v>
      </c>
    </row>
    <row r="21" spans="1:25" x14ac:dyDescent="0.2">
      <c r="A21" s="3" t="s">
        <v>8</v>
      </c>
      <c r="B21" s="5">
        <v>13640</v>
      </c>
      <c r="C21" s="5">
        <v>13640</v>
      </c>
      <c r="D21" s="5">
        <v>13640</v>
      </c>
      <c r="E21" s="5">
        <v>13640</v>
      </c>
      <c r="F21" s="5">
        <v>13640</v>
      </c>
      <c r="G21" s="5">
        <v>13640</v>
      </c>
      <c r="H21" s="5">
        <v>13640</v>
      </c>
      <c r="I21" s="5">
        <v>13640</v>
      </c>
      <c r="J21" s="5">
        <v>13640</v>
      </c>
      <c r="K21" s="5">
        <v>13640</v>
      </c>
      <c r="L21" s="5">
        <v>13640</v>
      </c>
      <c r="M21" s="5">
        <v>13640</v>
      </c>
      <c r="N21" s="5">
        <v>13640</v>
      </c>
      <c r="O21" s="5">
        <v>13640</v>
      </c>
      <c r="P21" s="5">
        <v>13640</v>
      </c>
      <c r="Q21" s="5">
        <v>13640</v>
      </c>
      <c r="R21" s="5">
        <v>13640</v>
      </c>
      <c r="S21" s="5">
        <v>13640</v>
      </c>
      <c r="T21" s="5">
        <v>13640</v>
      </c>
      <c r="U21" s="5">
        <v>13640</v>
      </c>
      <c r="V21" s="5">
        <v>13640</v>
      </c>
      <c r="W21" s="5"/>
      <c r="X21" s="5"/>
      <c r="Y21" s="5"/>
    </row>
    <row r="22" spans="1:25" x14ac:dyDescent="0.2">
      <c r="A22" s="3" t="s">
        <v>9</v>
      </c>
      <c r="B22" s="5">
        <v>54773</v>
      </c>
      <c r="C22" s="5">
        <v>54773</v>
      </c>
      <c r="D22" s="5">
        <v>54773</v>
      </c>
      <c r="E22" s="5">
        <v>54773</v>
      </c>
      <c r="F22" s="5">
        <v>54773</v>
      </c>
      <c r="G22" s="5">
        <v>54773</v>
      </c>
      <c r="H22" s="5">
        <v>54773</v>
      </c>
      <c r="I22" s="5">
        <v>54773</v>
      </c>
      <c r="J22" s="5">
        <v>54773</v>
      </c>
      <c r="K22" s="5">
        <v>54773</v>
      </c>
      <c r="L22" s="5">
        <v>54773</v>
      </c>
      <c r="M22" s="5">
        <v>54773</v>
      </c>
      <c r="N22" s="5">
        <v>57354</v>
      </c>
      <c r="O22" s="5">
        <v>59932.86</v>
      </c>
      <c r="P22" s="5">
        <v>59932.86</v>
      </c>
      <c r="Q22" s="5">
        <v>59932.86</v>
      </c>
      <c r="R22" s="5">
        <v>59932.86</v>
      </c>
      <c r="S22" s="5">
        <v>59932.86</v>
      </c>
      <c r="T22" s="5">
        <v>59932.86</v>
      </c>
      <c r="U22" s="5">
        <v>59932.86</v>
      </c>
      <c r="V22" s="5">
        <v>59932.86</v>
      </c>
      <c r="W22" s="5"/>
      <c r="X22" s="5"/>
      <c r="Y22" s="5"/>
    </row>
    <row r="23" spans="1:25" x14ac:dyDescent="0.2">
      <c r="A23" s="3" t="s">
        <v>10</v>
      </c>
      <c r="B23" s="5">
        <v>404400.72</v>
      </c>
      <c r="C23" s="5">
        <v>404400.72</v>
      </c>
      <c r="D23" s="5">
        <v>404965.78</v>
      </c>
      <c r="E23" s="5">
        <v>404965.78</v>
      </c>
      <c r="F23" s="5">
        <v>405961.6</v>
      </c>
      <c r="G23" s="5">
        <v>405961.6</v>
      </c>
      <c r="H23" s="5">
        <v>405961.6</v>
      </c>
      <c r="I23" s="5">
        <v>405961.6</v>
      </c>
      <c r="J23" s="5">
        <v>406930.25</v>
      </c>
      <c r="K23" s="5">
        <v>406930.25</v>
      </c>
      <c r="L23" s="5">
        <v>410416.25</v>
      </c>
      <c r="M23" s="5">
        <v>410416.25</v>
      </c>
      <c r="N23" s="5">
        <v>457019.94</v>
      </c>
      <c r="O23" s="5">
        <v>457019.94</v>
      </c>
      <c r="P23" s="5">
        <v>495370.08</v>
      </c>
      <c r="Q23" s="5">
        <v>496258.18</v>
      </c>
      <c r="R23" s="5">
        <v>496258.18</v>
      </c>
      <c r="S23" s="5">
        <v>496258.18</v>
      </c>
      <c r="T23" s="5">
        <v>496258.18</v>
      </c>
      <c r="U23" s="5">
        <v>496258.18</v>
      </c>
      <c r="V23" s="5">
        <v>496258.18</v>
      </c>
      <c r="W23" s="5"/>
      <c r="X23" s="5"/>
      <c r="Y23" s="5"/>
    </row>
    <row r="24" spans="1:25" x14ac:dyDescent="0.2">
      <c r="A24" s="3" t="s">
        <v>11</v>
      </c>
      <c r="B24" s="5">
        <v>-461493</v>
      </c>
      <c r="C24" s="5">
        <v>-461493</v>
      </c>
      <c r="D24" s="5">
        <v>-461493</v>
      </c>
      <c r="E24" s="5">
        <v>-461493</v>
      </c>
      <c r="F24" s="5">
        <v>-461493</v>
      </c>
      <c r="G24" s="5">
        <v>-461493</v>
      </c>
      <c r="H24" s="5">
        <v>-461493</v>
      </c>
      <c r="I24" s="5">
        <v>-461493</v>
      </c>
      <c r="J24" s="5">
        <v>-461493</v>
      </c>
      <c r="K24" s="5">
        <v>-461493</v>
      </c>
      <c r="L24" s="5">
        <v>-461493</v>
      </c>
      <c r="M24" s="5">
        <v>-461493</v>
      </c>
      <c r="N24" s="5">
        <v>-461493</v>
      </c>
      <c r="O24" s="5">
        <v>-461493</v>
      </c>
      <c r="P24" s="5">
        <v>-461493</v>
      </c>
      <c r="Q24" s="5">
        <v>-461493</v>
      </c>
      <c r="R24" s="5">
        <v>-461493</v>
      </c>
      <c r="S24" s="5">
        <v>-461493</v>
      </c>
      <c r="T24" s="5">
        <v>-461493</v>
      </c>
      <c r="U24" s="5">
        <v>-461493</v>
      </c>
      <c r="V24" s="5">
        <v>-461493</v>
      </c>
      <c r="W24" s="5"/>
      <c r="X24" s="5"/>
      <c r="Y24" s="5"/>
    </row>
    <row r="25" spans="1:25" customFormat="1" ht="14.25" x14ac:dyDescent="0.2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x14ac:dyDescent="0.2">
      <c r="A26" s="3" t="s">
        <v>12</v>
      </c>
      <c r="B26" s="5">
        <f t="shared" ref="B26:V26" si="1">ROUND(SUBTOTAL(9, B19:B25), 5)</f>
        <v>11320.72</v>
      </c>
      <c r="C26" s="5">
        <f t="shared" si="1"/>
        <v>11320.72</v>
      </c>
      <c r="D26" s="5">
        <f t="shared" si="1"/>
        <v>11885.78</v>
      </c>
      <c r="E26" s="5">
        <f t="shared" si="1"/>
        <v>11885.78</v>
      </c>
      <c r="F26" s="5">
        <f t="shared" si="1"/>
        <v>12881.6</v>
      </c>
      <c r="G26" s="5">
        <f t="shared" si="1"/>
        <v>12881.6</v>
      </c>
      <c r="H26" s="5">
        <f t="shared" si="1"/>
        <v>12881.6</v>
      </c>
      <c r="I26" s="5">
        <f t="shared" si="1"/>
        <v>12881.6</v>
      </c>
      <c r="J26" s="5">
        <f t="shared" si="1"/>
        <v>13850.25</v>
      </c>
      <c r="K26" s="5">
        <f t="shared" si="1"/>
        <v>13850.25</v>
      </c>
      <c r="L26" s="5">
        <f t="shared" si="1"/>
        <v>17336.25</v>
      </c>
      <c r="M26" s="5">
        <f t="shared" si="1"/>
        <v>17336.25</v>
      </c>
      <c r="N26" s="5">
        <f t="shared" si="1"/>
        <v>66520.94</v>
      </c>
      <c r="O26" s="5">
        <f t="shared" si="1"/>
        <v>69099.8</v>
      </c>
      <c r="P26" s="5">
        <f t="shared" si="1"/>
        <v>107449.94</v>
      </c>
      <c r="Q26" s="5">
        <f t="shared" si="1"/>
        <v>108338.04</v>
      </c>
      <c r="R26" s="5">
        <f t="shared" si="1"/>
        <v>108338.04</v>
      </c>
      <c r="S26" s="5">
        <f t="shared" si="1"/>
        <v>108338.04</v>
      </c>
      <c r="T26" s="5">
        <f t="shared" si="1"/>
        <v>108338.04</v>
      </c>
      <c r="U26" s="5">
        <f t="shared" si="1"/>
        <v>108338.04</v>
      </c>
      <c r="V26" s="5">
        <f t="shared" si="1"/>
        <v>108338.04</v>
      </c>
      <c r="W26" s="5"/>
      <c r="X26" s="5"/>
      <c r="Y26" s="5"/>
    </row>
    <row r="27" spans="1:25" x14ac:dyDescent="0.2">
      <c r="A27" s="2" t="s">
        <v>0</v>
      </c>
    </row>
    <row r="28" spans="1:25" x14ac:dyDescent="0.2">
      <c r="A28" s="3" t="s">
        <v>13</v>
      </c>
    </row>
    <row r="29" spans="1:25" customFormat="1" ht="14.25" x14ac:dyDescent="0.2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x14ac:dyDescent="0.2">
      <c r="A30" s="3" t="s">
        <v>14</v>
      </c>
      <c r="B30" s="5">
        <f t="shared" ref="B30:V30" si="2">ROUND(SUBTOTAL(9, B27:B29), 5)</f>
        <v>0</v>
      </c>
      <c r="C30" s="5">
        <f t="shared" si="2"/>
        <v>0</v>
      </c>
      <c r="D30" s="5">
        <f t="shared" si="2"/>
        <v>0</v>
      </c>
      <c r="E30" s="5">
        <f t="shared" si="2"/>
        <v>0</v>
      </c>
      <c r="F30" s="5">
        <f t="shared" si="2"/>
        <v>0</v>
      </c>
      <c r="G30" s="5">
        <f t="shared" si="2"/>
        <v>0</v>
      </c>
      <c r="H30" s="5">
        <f t="shared" si="2"/>
        <v>0</v>
      </c>
      <c r="I30" s="5">
        <f t="shared" si="2"/>
        <v>0</v>
      </c>
      <c r="J30" s="5">
        <f t="shared" si="2"/>
        <v>0</v>
      </c>
      <c r="K30" s="5">
        <f t="shared" si="2"/>
        <v>0</v>
      </c>
      <c r="L30" s="5">
        <f t="shared" si="2"/>
        <v>0</v>
      </c>
      <c r="M30" s="5">
        <f t="shared" si="2"/>
        <v>0</v>
      </c>
      <c r="N30" s="5">
        <f t="shared" si="2"/>
        <v>0</v>
      </c>
      <c r="O30" s="5">
        <f t="shared" si="2"/>
        <v>0</v>
      </c>
      <c r="P30" s="5">
        <f t="shared" si="2"/>
        <v>0</v>
      </c>
      <c r="Q30" s="5">
        <f t="shared" si="2"/>
        <v>0</v>
      </c>
      <c r="R30" s="5">
        <f t="shared" si="2"/>
        <v>0</v>
      </c>
      <c r="S30" s="5">
        <f t="shared" si="2"/>
        <v>0</v>
      </c>
      <c r="T30" s="5">
        <f t="shared" si="2"/>
        <v>0</v>
      </c>
      <c r="U30" s="5">
        <f t="shared" si="2"/>
        <v>0</v>
      </c>
      <c r="V30" s="5">
        <f t="shared" si="2"/>
        <v>0</v>
      </c>
      <c r="W30" s="5"/>
      <c r="X30" s="5"/>
      <c r="Y30" s="5"/>
    </row>
    <row r="31" spans="1:25" customFormat="1" ht="14.25" x14ac:dyDescent="0.2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3.5" thickBot="1" x14ac:dyDescent="0.25">
      <c r="A32" s="3" t="s">
        <v>15</v>
      </c>
      <c r="B32" s="4">
        <f t="shared" ref="B32:V32" si="3">ROUND(B18+B26+B30, 5)</f>
        <v>715946.67</v>
      </c>
      <c r="C32" s="5">
        <f t="shared" si="3"/>
        <v>800855.59</v>
      </c>
      <c r="D32" s="5">
        <f t="shared" si="3"/>
        <v>972948.76</v>
      </c>
      <c r="E32" s="5">
        <f t="shared" si="3"/>
        <v>960219.93</v>
      </c>
      <c r="F32" s="5">
        <f t="shared" si="3"/>
        <v>1115622.17</v>
      </c>
      <c r="G32" s="5">
        <f t="shared" si="3"/>
        <v>1131359.78</v>
      </c>
      <c r="H32" s="5">
        <f t="shared" si="3"/>
        <v>1317434.93</v>
      </c>
      <c r="I32" s="5">
        <f t="shared" si="3"/>
        <v>1544819.77</v>
      </c>
      <c r="J32" s="5">
        <f t="shared" si="3"/>
        <v>1150990.81</v>
      </c>
      <c r="K32" s="5">
        <f t="shared" si="3"/>
        <v>1344504.06</v>
      </c>
      <c r="L32" s="5">
        <f t="shared" si="3"/>
        <v>1073616.03</v>
      </c>
      <c r="M32" s="5">
        <f t="shared" si="3"/>
        <v>716337.32</v>
      </c>
      <c r="N32" s="5">
        <f t="shared" si="3"/>
        <v>965581.84</v>
      </c>
      <c r="O32" s="5">
        <f t="shared" si="3"/>
        <v>859228.99</v>
      </c>
      <c r="P32" s="5">
        <f t="shared" si="3"/>
        <v>826629.33</v>
      </c>
      <c r="Q32" s="5">
        <f t="shared" si="3"/>
        <v>982641.03</v>
      </c>
      <c r="R32" s="5">
        <f t="shared" si="3"/>
        <v>1010552.55</v>
      </c>
      <c r="S32" s="5">
        <f t="shared" si="3"/>
        <v>1039584.98</v>
      </c>
      <c r="T32" s="5">
        <f t="shared" si="3"/>
        <v>1505999.73</v>
      </c>
      <c r="U32" s="5">
        <f t="shared" si="3"/>
        <v>1531180.69</v>
      </c>
      <c r="V32" s="5">
        <f t="shared" si="3"/>
        <v>1627845.97</v>
      </c>
      <c r="W32" s="5"/>
      <c r="X32" s="5"/>
      <c r="Y32" s="5"/>
    </row>
    <row r="33" spans="1:25" customFormat="1" ht="15" thickTop="1" x14ac:dyDescent="0.2">
      <c r="A33" s="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x14ac:dyDescent="0.2">
      <c r="A34" s="2" t="s">
        <v>0</v>
      </c>
    </row>
    <row r="35" spans="1:25" x14ac:dyDescent="0.2">
      <c r="A35" s="2" t="s">
        <v>0</v>
      </c>
    </row>
    <row r="36" spans="1:25" x14ac:dyDescent="0.2">
      <c r="A36" s="2" t="s">
        <v>16</v>
      </c>
    </row>
    <row r="37" spans="1:25" x14ac:dyDescent="0.2">
      <c r="A37" s="2" t="s">
        <v>0</v>
      </c>
    </row>
    <row r="38" spans="1:25" x14ac:dyDescent="0.2">
      <c r="A38" s="3" t="s">
        <v>17</v>
      </c>
      <c r="B38" s="4">
        <v>0.02</v>
      </c>
      <c r="C38" s="5">
        <v>0.02</v>
      </c>
      <c r="D38" s="5">
        <v>0.02</v>
      </c>
      <c r="E38" s="5">
        <v>0.02</v>
      </c>
      <c r="F38" s="5">
        <v>0.02</v>
      </c>
      <c r="G38" s="5">
        <v>0.02</v>
      </c>
      <c r="H38" s="5">
        <v>0.02</v>
      </c>
      <c r="I38" s="5">
        <v>0.02</v>
      </c>
      <c r="J38" s="5">
        <v>0.02</v>
      </c>
      <c r="K38" s="5">
        <v>0.02</v>
      </c>
      <c r="L38" s="5">
        <v>0.02</v>
      </c>
      <c r="M38" s="5">
        <v>0</v>
      </c>
    </row>
    <row r="39" spans="1:25" x14ac:dyDescent="0.2">
      <c r="A39" s="3" t="s">
        <v>18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0.01</v>
      </c>
      <c r="Q39" s="5">
        <v>0.01</v>
      </c>
      <c r="R39" s="5">
        <v>0.01</v>
      </c>
      <c r="S39" s="5">
        <v>0</v>
      </c>
      <c r="T39" s="5">
        <v>0</v>
      </c>
      <c r="U39" s="5">
        <v>0</v>
      </c>
      <c r="V39" s="5">
        <v>0</v>
      </c>
      <c r="W39" s="5"/>
      <c r="X39" s="5"/>
      <c r="Y39" s="5"/>
    </row>
    <row r="40" spans="1:25" x14ac:dyDescent="0.2">
      <c r="A40" s="3" t="s">
        <v>19</v>
      </c>
      <c r="B40" s="5">
        <v>16520</v>
      </c>
      <c r="C40" s="5">
        <v>33040</v>
      </c>
      <c r="D40" s="5">
        <v>49560</v>
      </c>
      <c r="E40" s="5">
        <v>66080</v>
      </c>
      <c r="F40" s="5">
        <v>82600</v>
      </c>
      <c r="G40" s="5">
        <v>99120</v>
      </c>
      <c r="H40" s="5">
        <v>115640</v>
      </c>
      <c r="I40" s="5">
        <v>132160</v>
      </c>
      <c r="J40" s="5">
        <v>148680</v>
      </c>
      <c r="K40" s="5">
        <v>165200</v>
      </c>
      <c r="L40" s="5">
        <v>217568</v>
      </c>
      <c r="M40" s="5">
        <v>223191.27</v>
      </c>
      <c r="N40" s="5">
        <v>240086.27</v>
      </c>
      <c r="O40" s="5">
        <v>33790</v>
      </c>
      <c r="P40" s="5">
        <v>50685</v>
      </c>
      <c r="Q40" s="5">
        <v>67580</v>
      </c>
      <c r="R40" s="5">
        <v>84475</v>
      </c>
      <c r="S40" s="5">
        <v>101370</v>
      </c>
      <c r="T40" s="5">
        <v>118265</v>
      </c>
      <c r="U40" s="5">
        <v>135160</v>
      </c>
      <c r="V40" s="5">
        <v>152055</v>
      </c>
      <c r="W40" s="5"/>
      <c r="X40" s="5"/>
      <c r="Y40" s="5"/>
    </row>
    <row r="41" spans="1:25" customFormat="1" ht="14.25" x14ac:dyDescent="0.2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x14ac:dyDescent="0.2">
      <c r="A42" s="3" t="s">
        <v>20</v>
      </c>
      <c r="B42" s="5">
        <f t="shared" ref="B42:V42" si="4">ROUND(SUBTOTAL(9, B34:B41), 5)</f>
        <v>16520.02</v>
      </c>
      <c r="C42" s="5">
        <f t="shared" si="4"/>
        <v>33040.019999999997</v>
      </c>
      <c r="D42" s="5">
        <f t="shared" si="4"/>
        <v>49560.02</v>
      </c>
      <c r="E42" s="5">
        <f t="shared" si="4"/>
        <v>66080.02</v>
      </c>
      <c r="F42" s="5">
        <f t="shared" si="4"/>
        <v>82600.02</v>
      </c>
      <c r="G42" s="5">
        <f t="shared" si="4"/>
        <v>99120.02</v>
      </c>
      <c r="H42" s="5">
        <f t="shared" si="4"/>
        <v>115640.02</v>
      </c>
      <c r="I42" s="5">
        <f t="shared" si="4"/>
        <v>132160.01999999999</v>
      </c>
      <c r="J42" s="5">
        <f t="shared" si="4"/>
        <v>148680.01999999999</v>
      </c>
      <c r="K42" s="5">
        <f t="shared" si="4"/>
        <v>165200.01999999999</v>
      </c>
      <c r="L42" s="5">
        <f t="shared" si="4"/>
        <v>217568.02</v>
      </c>
      <c r="M42" s="5">
        <f t="shared" si="4"/>
        <v>223191.27</v>
      </c>
      <c r="N42" s="5">
        <f t="shared" si="4"/>
        <v>240086.27</v>
      </c>
      <c r="O42" s="5">
        <f t="shared" si="4"/>
        <v>33790</v>
      </c>
      <c r="P42" s="5">
        <f t="shared" si="4"/>
        <v>50685.01</v>
      </c>
      <c r="Q42" s="5">
        <f t="shared" si="4"/>
        <v>67580.009999999995</v>
      </c>
      <c r="R42" s="5">
        <f t="shared" si="4"/>
        <v>84475.01</v>
      </c>
      <c r="S42" s="5">
        <f t="shared" si="4"/>
        <v>101370</v>
      </c>
      <c r="T42" s="5">
        <f t="shared" si="4"/>
        <v>118265</v>
      </c>
      <c r="U42" s="5">
        <f t="shared" si="4"/>
        <v>135160</v>
      </c>
      <c r="V42" s="5">
        <f t="shared" si="4"/>
        <v>152055</v>
      </c>
      <c r="W42" s="5"/>
      <c r="X42" s="5"/>
      <c r="Y42" s="5"/>
    </row>
    <row r="43" spans="1:25" x14ac:dyDescent="0.2">
      <c r="A43" s="2" t="s">
        <v>0</v>
      </c>
    </row>
    <row r="44" spans="1:25" x14ac:dyDescent="0.2">
      <c r="A44" s="3" t="s">
        <v>21</v>
      </c>
    </row>
    <row r="45" spans="1:25" x14ac:dyDescent="0.2">
      <c r="A45" s="3" t="s">
        <v>188</v>
      </c>
      <c r="B45" s="5">
        <v>22209.835999999999</v>
      </c>
      <c r="C45" s="5">
        <v>20204.084999999999</v>
      </c>
      <c r="D45" s="5">
        <v>18195.683000000001</v>
      </c>
      <c r="E45" s="5">
        <v>16184.619000000002</v>
      </c>
      <c r="F45" s="5">
        <v>14170.893</v>
      </c>
      <c r="G45" s="5">
        <v>12154.494000000002</v>
      </c>
      <c r="H45" s="5">
        <v>10135.422</v>
      </c>
      <c r="I45" s="5">
        <v>8113.6770000000006</v>
      </c>
      <c r="J45" s="5">
        <v>6089.2480000000005</v>
      </c>
      <c r="K45" s="5">
        <v>4062.1350000000002</v>
      </c>
      <c r="L45" s="5">
        <v>2032.3380000000002</v>
      </c>
      <c r="M45" s="5">
        <v>0</v>
      </c>
      <c r="N45" s="5">
        <v>49500.000000000007</v>
      </c>
      <c r="O45" s="5">
        <v>49500.000000000007</v>
      </c>
      <c r="P45" s="5">
        <v>91617.294999999998</v>
      </c>
      <c r="Q45" s="5">
        <v>89731.872999999992</v>
      </c>
      <c r="R45" s="5">
        <v>87843.734000000011</v>
      </c>
      <c r="S45" s="5">
        <v>85952.877999999997</v>
      </c>
      <c r="T45" s="5">
        <v>84059.293999999994</v>
      </c>
      <c r="U45" s="5">
        <v>82162.982000000004</v>
      </c>
      <c r="V45" s="5">
        <v>80263.931000000011</v>
      </c>
      <c r="W45" s="5"/>
      <c r="X45" s="5"/>
      <c r="Y45" s="5"/>
    </row>
    <row r="46" spans="1:25" customFormat="1" ht="14.25" x14ac:dyDescent="0.2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x14ac:dyDescent="0.2">
      <c r="A47" s="3" t="s">
        <v>22</v>
      </c>
      <c r="B47" s="5">
        <f t="shared" ref="B47:M47" si="5">ROUND(SUBTOTAL(9, B43:B46), 5)</f>
        <v>22209.835999999999</v>
      </c>
      <c r="C47" s="5">
        <f t="shared" si="5"/>
        <v>20204.084999999999</v>
      </c>
      <c r="D47" s="5">
        <f t="shared" si="5"/>
        <v>18195.683000000001</v>
      </c>
      <c r="E47" s="5">
        <f t="shared" si="5"/>
        <v>16184.619000000001</v>
      </c>
      <c r="F47" s="5">
        <f t="shared" si="5"/>
        <v>14170.893</v>
      </c>
      <c r="G47" s="5">
        <f t="shared" si="5"/>
        <v>12154.494000000001</v>
      </c>
      <c r="H47" s="5">
        <f t="shared" si="5"/>
        <v>10135.422</v>
      </c>
      <c r="I47" s="5">
        <f t="shared" si="5"/>
        <v>8113.6769999999997</v>
      </c>
      <c r="J47" s="5">
        <f t="shared" si="5"/>
        <v>6089.2479999999996</v>
      </c>
      <c r="K47" s="5">
        <f t="shared" si="5"/>
        <v>4062.1350000000002</v>
      </c>
      <c r="L47" s="5">
        <f t="shared" si="5"/>
        <v>2032.338</v>
      </c>
      <c r="M47" s="5">
        <f t="shared" si="5"/>
        <v>0</v>
      </c>
      <c r="N47" s="5">
        <f t="shared" ref="N47:V47" si="6">ROUND(SUBTOTAL(9, N43:N46), 5)</f>
        <v>49500</v>
      </c>
      <c r="O47" s="5">
        <f t="shared" si="6"/>
        <v>49500</v>
      </c>
      <c r="P47" s="5">
        <f t="shared" si="6"/>
        <v>91617.294999999998</v>
      </c>
      <c r="Q47" s="5">
        <f t="shared" si="6"/>
        <v>89731.873000000007</v>
      </c>
      <c r="R47" s="5">
        <f t="shared" si="6"/>
        <v>87843.733999999997</v>
      </c>
      <c r="S47" s="5">
        <f t="shared" si="6"/>
        <v>85952.877999999997</v>
      </c>
      <c r="T47" s="5">
        <f t="shared" si="6"/>
        <v>84059.293999999994</v>
      </c>
      <c r="U47" s="5">
        <f t="shared" si="6"/>
        <v>82162.982000000004</v>
      </c>
      <c r="V47" s="5">
        <f t="shared" si="6"/>
        <v>80263.930999999997</v>
      </c>
      <c r="W47" s="5"/>
      <c r="X47" s="5"/>
      <c r="Y47" s="5"/>
    </row>
    <row r="48" spans="1:25" customFormat="1" ht="14.25" x14ac:dyDescent="0.2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x14ac:dyDescent="0.2">
      <c r="A49" s="3" t="s">
        <v>23</v>
      </c>
      <c r="B49" s="5">
        <f t="shared" ref="B49:M49" si="7">-(ROUND(-B42+-B47, 5))</f>
        <v>38729.856</v>
      </c>
      <c r="C49" s="5">
        <f t="shared" si="7"/>
        <v>53244.105000000003</v>
      </c>
      <c r="D49" s="5">
        <f t="shared" si="7"/>
        <v>67755.702999999994</v>
      </c>
      <c r="E49" s="5">
        <f t="shared" si="7"/>
        <v>82264.638999999996</v>
      </c>
      <c r="F49" s="5">
        <f t="shared" si="7"/>
        <v>96770.913</v>
      </c>
      <c r="G49" s="5">
        <f t="shared" si="7"/>
        <v>111274.514</v>
      </c>
      <c r="H49" s="5">
        <f t="shared" si="7"/>
        <v>125775.442</v>
      </c>
      <c r="I49" s="5">
        <f t="shared" si="7"/>
        <v>140273.69699999999</v>
      </c>
      <c r="J49" s="5">
        <f t="shared" si="7"/>
        <v>154769.26800000001</v>
      </c>
      <c r="K49" s="5">
        <f t="shared" si="7"/>
        <v>169262.155</v>
      </c>
      <c r="L49" s="5">
        <f t="shared" si="7"/>
        <v>219600.35800000001</v>
      </c>
      <c r="M49" s="5">
        <f t="shared" si="7"/>
        <v>223191.27</v>
      </c>
      <c r="N49" s="5">
        <f t="shared" ref="N49:V49" si="8">-(ROUND(-N42+-N47, 5))</f>
        <v>289586.27</v>
      </c>
      <c r="O49" s="5">
        <f t="shared" si="8"/>
        <v>83290</v>
      </c>
      <c r="P49" s="5">
        <f t="shared" si="8"/>
        <v>142302.30499999999</v>
      </c>
      <c r="Q49" s="5">
        <f t="shared" si="8"/>
        <v>157311.883</v>
      </c>
      <c r="R49" s="5">
        <f t="shared" si="8"/>
        <v>172318.74400000001</v>
      </c>
      <c r="S49" s="5">
        <f t="shared" si="8"/>
        <v>187322.878</v>
      </c>
      <c r="T49" s="5">
        <f t="shared" si="8"/>
        <v>202324.29399999999</v>
      </c>
      <c r="U49" s="5">
        <f t="shared" si="8"/>
        <v>217322.98199999999</v>
      </c>
      <c r="V49" s="5">
        <f t="shared" si="8"/>
        <v>232318.93100000001</v>
      </c>
      <c r="W49" s="5"/>
      <c r="X49" s="5"/>
      <c r="Y49" s="5"/>
    </row>
    <row r="50" spans="1:25" x14ac:dyDescent="0.2">
      <c r="A50" s="2" t="s">
        <v>0</v>
      </c>
    </row>
    <row r="51" spans="1:25" x14ac:dyDescent="0.2">
      <c r="A51" s="3" t="s">
        <v>24</v>
      </c>
      <c r="B51" s="96"/>
    </row>
    <row r="52" spans="1:25" x14ac:dyDescent="0.2">
      <c r="A52" s="3" t="s">
        <v>25</v>
      </c>
      <c r="B52" s="5">
        <v>500</v>
      </c>
      <c r="C52" s="5">
        <v>500</v>
      </c>
      <c r="D52" s="5">
        <v>500</v>
      </c>
      <c r="E52" s="5">
        <v>500</v>
      </c>
      <c r="F52" s="5">
        <v>500</v>
      </c>
      <c r="G52" s="5">
        <v>500</v>
      </c>
      <c r="H52" s="5">
        <v>500</v>
      </c>
      <c r="I52" s="5">
        <v>500</v>
      </c>
      <c r="J52" s="5">
        <v>500</v>
      </c>
      <c r="K52" s="5">
        <v>500</v>
      </c>
      <c r="L52" s="5">
        <v>500</v>
      </c>
      <c r="M52" s="5">
        <v>500</v>
      </c>
      <c r="N52" s="5">
        <v>500</v>
      </c>
      <c r="O52" s="5">
        <v>500</v>
      </c>
      <c r="P52" s="5">
        <v>500</v>
      </c>
      <c r="Q52" s="5">
        <v>500</v>
      </c>
      <c r="R52" s="5">
        <v>500</v>
      </c>
      <c r="S52" s="5">
        <v>500</v>
      </c>
      <c r="T52" s="5">
        <v>500</v>
      </c>
      <c r="U52" s="5">
        <v>500</v>
      </c>
      <c r="V52" s="5">
        <v>500</v>
      </c>
      <c r="W52" s="5"/>
      <c r="X52" s="5"/>
      <c r="Y52" s="5"/>
    </row>
    <row r="53" spans="1:25" x14ac:dyDescent="0.2">
      <c r="A53" s="3" t="s">
        <v>26</v>
      </c>
      <c r="B53" s="5">
        <v>418326.69400003098</v>
      </c>
      <c r="C53" s="5">
        <v>418509.035000031</v>
      </c>
      <c r="D53" s="5">
        <v>418691.61700003105</v>
      </c>
      <c r="E53" s="5">
        <v>418874.44100003107</v>
      </c>
      <c r="F53" s="5">
        <v>419057.50700003095</v>
      </c>
      <c r="G53" s="5">
        <v>419240.81600003107</v>
      </c>
      <c r="H53" s="5">
        <v>419424.36800003098</v>
      </c>
      <c r="I53" s="5">
        <v>419608.16300003091</v>
      </c>
      <c r="J53" s="5">
        <v>419792.20200003101</v>
      </c>
      <c r="K53" s="5">
        <v>419976.48500003107</v>
      </c>
      <c r="L53" s="5">
        <v>420161.01200003107</v>
      </c>
      <c r="M53" s="5">
        <v>420345.77000003099</v>
      </c>
      <c r="N53" s="5">
        <v>488146.05000003101</v>
      </c>
      <c r="O53" s="5">
        <v>488146.05000003101</v>
      </c>
      <c r="P53" s="5">
        <v>484317.20500003092</v>
      </c>
      <c r="Q53" s="5">
        <v>484488.60700003104</v>
      </c>
      <c r="R53" s="5">
        <v>484660.25600003102</v>
      </c>
      <c r="S53" s="5">
        <v>484832.15200003097</v>
      </c>
      <c r="T53" s="5">
        <v>485004.29600003106</v>
      </c>
      <c r="U53" s="5">
        <v>485176.68800003105</v>
      </c>
      <c r="V53" s="5">
        <v>485349.32900003088</v>
      </c>
      <c r="W53" s="5"/>
      <c r="X53" s="5"/>
      <c r="Y53" s="5"/>
    </row>
    <row r="54" spans="1:25" x14ac:dyDescent="0.2">
      <c r="A54" s="3" t="s">
        <v>27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-75087</v>
      </c>
      <c r="Q54" s="5">
        <v>-75087</v>
      </c>
      <c r="R54" s="5">
        <v>-75087</v>
      </c>
      <c r="S54" s="5">
        <v>-75087</v>
      </c>
      <c r="T54" s="5">
        <v>-75087</v>
      </c>
      <c r="U54" s="5">
        <v>-75087</v>
      </c>
      <c r="V54" s="5">
        <v>-75087</v>
      </c>
      <c r="W54" s="5"/>
      <c r="X54" s="5"/>
      <c r="Y54" s="5"/>
    </row>
    <row r="55" spans="1:25" x14ac:dyDescent="0.2">
      <c r="A55" s="3" t="s">
        <v>28</v>
      </c>
      <c r="B55" s="5">
        <v>258390.11999999901</v>
      </c>
      <c r="C55" s="5">
        <v>328602.44999999902</v>
      </c>
      <c r="D55" s="5">
        <v>486001.43999999901</v>
      </c>
      <c r="E55" s="5">
        <v>458580.84999999899</v>
      </c>
      <c r="F55" s="5">
        <v>599293.74999999895</v>
      </c>
      <c r="G55" s="5">
        <v>600344.44999999902</v>
      </c>
      <c r="H55" s="5">
        <v>771735.11999999895</v>
      </c>
      <c r="I55" s="5">
        <v>984437.90999999898</v>
      </c>
      <c r="J55" s="5">
        <v>575929.33999999904</v>
      </c>
      <c r="K55" s="5">
        <v>754765.41999999899</v>
      </c>
      <c r="L55" s="5">
        <v>433354.65999999898</v>
      </c>
      <c r="M55" s="5">
        <v>72300.279999998995</v>
      </c>
      <c r="N55" s="5">
        <v>187349.519999999</v>
      </c>
      <c r="O55" s="5">
        <v>287292.93999999901</v>
      </c>
      <c r="P55" s="5">
        <v>274596.81999999902</v>
      </c>
      <c r="Q55" s="5">
        <v>415427.53999999899</v>
      </c>
      <c r="R55" s="5">
        <v>428160.549999999</v>
      </c>
      <c r="S55" s="5">
        <v>442016.94999999902</v>
      </c>
      <c r="T55" s="5">
        <v>893258.13999999897</v>
      </c>
      <c r="U55" s="5">
        <v>903268.01999999897</v>
      </c>
      <c r="V55" s="5">
        <v>984764.70999999903</v>
      </c>
      <c r="W55" s="5"/>
      <c r="X55" s="5"/>
      <c r="Y55" s="5"/>
    </row>
    <row r="56" spans="1:25" customFormat="1" ht="14.25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x14ac:dyDescent="0.2">
      <c r="A57" s="3" t="s">
        <v>29</v>
      </c>
      <c r="B57" s="5">
        <f t="shared" ref="B57:M57" si="9">ROUND(SUBTOTAL(9, B50:B56), 5)</f>
        <v>677216.81400000001</v>
      </c>
      <c r="C57" s="5">
        <f t="shared" si="9"/>
        <v>747611.48499999999</v>
      </c>
      <c r="D57" s="5">
        <f t="shared" si="9"/>
        <v>905193.05700000003</v>
      </c>
      <c r="E57" s="5">
        <f t="shared" si="9"/>
        <v>877955.29099999997</v>
      </c>
      <c r="F57" s="5">
        <f t="shared" si="9"/>
        <v>1018851.257</v>
      </c>
      <c r="G57" s="5">
        <f t="shared" si="9"/>
        <v>1020085.2659999999</v>
      </c>
      <c r="H57" s="5">
        <f t="shared" si="9"/>
        <v>1191659.4879999999</v>
      </c>
      <c r="I57" s="5">
        <f t="shared" si="9"/>
        <v>1404546.0730000001</v>
      </c>
      <c r="J57" s="5">
        <f t="shared" si="9"/>
        <v>996221.54200000002</v>
      </c>
      <c r="K57" s="5">
        <f t="shared" si="9"/>
        <v>1175241.905</v>
      </c>
      <c r="L57" s="5">
        <f t="shared" si="9"/>
        <v>854015.67200000002</v>
      </c>
      <c r="M57" s="5">
        <f t="shared" si="9"/>
        <v>493146.05</v>
      </c>
      <c r="N57" s="5">
        <f t="shared" ref="N57:V57" si="10">ROUND(SUBTOTAL(9, N50:N56), 5)</f>
        <v>675995.57</v>
      </c>
      <c r="O57" s="5">
        <f t="shared" si="10"/>
        <v>775938.99</v>
      </c>
      <c r="P57" s="5">
        <f t="shared" si="10"/>
        <v>684327.02500000002</v>
      </c>
      <c r="Q57" s="5">
        <f t="shared" si="10"/>
        <v>825329.147</v>
      </c>
      <c r="R57" s="5">
        <f t="shared" si="10"/>
        <v>838233.80599999998</v>
      </c>
      <c r="S57" s="5">
        <f t="shared" si="10"/>
        <v>852262.10199999996</v>
      </c>
      <c r="T57" s="5">
        <f t="shared" si="10"/>
        <v>1303675.436</v>
      </c>
      <c r="U57" s="5">
        <f t="shared" si="10"/>
        <v>1313857.7080000001</v>
      </c>
      <c r="V57" s="5">
        <f t="shared" si="10"/>
        <v>1395527.0390000001</v>
      </c>
      <c r="W57" s="5"/>
      <c r="X57" s="5"/>
      <c r="Y57" s="5"/>
    </row>
    <row r="58" spans="1:25" customFormat="1" ht="14.25" x14ac:dyDescent="0.2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3.5" thickBot="1" x14ac:dyDescent="0.25">
      <c r="A59" s="3" t="s">
        <v>30</v>
      </c>
      <c r="B59" s="4">
        <f t="shared" ref="B59:M59" si="11">-(ROUND(-B49+-B57, 5))</f>
        <v>715946.67</v>
      </c>
      <c r="C59" s="5">
        <f t="shared" si="11"/>
        <v>800855.59</v>
      </c>
      <c r="D59" s="5">
        <f t="shared" si="11"/>
        <v>972948.76</v>
      </c>
      <c r="E59" s="5">
        <f t="shared" si="11"/>
        <v>960219.93</v>
      </c>
      <c r="F59" s="5">
        <f t="shared" si="11"/>
        <v>1115622.17</v>
      </c>
      <c r="G59" s="5">
        <f t="shared" si="11"/>
        <v>1131359.78</v>
      </c>
      <c r="H59" s="5">
        <f t="shared" si="11"/>
        <v>1317434.93</v>
      </c>
      <c r="I59" s="5">
        <f t="shared" si="11"/>
        <v>1544819.77</v>
      </c>
      <c r="J59" s="5">
        <f t="shared" si="11"/>
        <v>1150990.81</v>
      </c>
      <c r="K59" s="5">
        <f t="shared" si="11"/>
        <v>1344504.06</v>
      </c>
      <c r="L59" s="5">
        <f t="shared" si="11"/>
        <v>1073616.03</v>
      </c>
      <c r="M59" s="5">
        <f t="shared" si="11"/>
        <v>716337.32</v>
      </c>
      <c r="N59" s="5">
        <f t="shared" ref="N59:V59" si="12">-(ROUND(-N49+-N57, 5))</f>
        <v>965581.84</v>
      </c>
      <c r="O59" s="5">
        <f t="shared" si="12"/>
        <v>859228.99</v>
      </c>
      <c r="P59" s="5">
        <f t="shared" si="12"/>
        <v>826629.33</v>
      </c>
      <c r="Q59" s="5">
        <f t="shared" si="12"/>
        <v>982641.03</v>
      </c>
      <c r="R59" s="5">
        <f t="shared" si="12"/>
        <v>1010552.55</v>
      </c>
      <c r="S59" s="5">
        <f t="shared" si="12"/>
        <v>1039584.98</v>
      </c>
      <c r="T59" s="5">
        <f t="shared" si="12"/>
        <v>1505999.73</v>
      </c>
      <c r="U59" s="5">
        <f t="shared" si="12"/>
        <v>1531180.69</v>
      </c>
      <c r="V59" s="5">
        <f t="shared" si="12"/>
        <v>1627845.97</v>
      </c>
      <c r="W59" s="5"/>
      <c r="X59" s="5"/>
      <c r="Y59" s="5"/>
    </row>
    <row r="60" spans="1:25" customFormat="1" ht="15.75" thickTop="1" thickBot="1" x14ac:dyDescent="0.2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3" spans="1:25" x14ac:dyDescent="0.2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</row>
  </sheetData>
  <mergeCells count="4">
    <mergeCell ref="A1:M1"/>
    <mergeCell ref="A2:M2"/>
    <mergeCell ref="A3:M3"/>
    <mergeCell ref="A4:M4"/>
  </mergeCells>
  <pageMargins left="0.7" right="0.7" top="0.75" bottom="0.65277777777777779" header="0.3" footer="0.3"/>
  <pageSetup orientation="landscape" r:id="rId1"/>
  <headerFooter>
    <oddFooter>&amp;L&amp;10&amp;"Times New Roman"&amp;D at &amp;T&amp;C&amp;10&amp;"Times New Roman"Unaudited - For Management Purposes Only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pageSetUpPr fitToPage="1"/>
  </sheetPr>
  <dimension ref="A1:Z29"/>
  <sheetViews>
    <sheetView zoomScale="150" zoomScaleNormal="150" workbookViewId="0">
      <pane xSplit="1" ySplit="3" topLeftCell="S4" activePane="bottomRight" state="frozen"/>
      <selection pane="topRight" activeCell="B1" sqref="B1"/>
      <selection pane="bottomLeft" activeCell="A4" sqref="A4"/>
      <selection pane="bottomRight" activeCell="Y5" sqref="Y5"/>
    </sheetView>
  </sheetViews>
  <sheetFormatPr defaultRowHeight="12.75" x14ac:dyDescent="0.2"/>
  <cols>
    <col min="1" max="1" width="17.75" style="16" customWidth="1"/>
    <col min="2" max="4" width="8.75" style="16" customWidth="1"/>
    <col min="5" max="6" width="9" style="16" customWidth="1"/>
    <col min="7" max="7" width="8.375" style="16" customWidth="1"/>
    <col min="8" max="8" width="8.5" style="16" customWidth="1"/>
    <col min="9" max="9" width="8.375" style="16" customWidth="1"/>
    <col min="10" max="10" width="8.75" style="16" customWidth="1"/>
    <col min="11" max="13" width="9" style="16" customWidth="1"/>
    <col min="14" max="14" width="8.75" style="16" customWidth="1"/>
    <col min="15" max="15" width="9.75" style="16" bestFit="1" customWidth="1"/>
    <col min="16" max="16" width="8.75" style="16" customWidth="1"/>
    <col min="17" max="18" width="9" style="16" customWidth="1"/>
    <col min="19" max="19" width="8.375" style="16" customWidth="1"/>
    <col min="20" max="20" width="8.875" style="16" bestFit="1" customWidth="1"/>
    <col min="21" max="21" width="9.375" style="16" customWidth="1"/>
    <col min="22" max="22" width="8.75" style="16" customWidth="1"/>
    <col min="23" max="25" width="9" style="16" customWidth="1"/>
    <col min="26" max="26" width="8.875" style="16" bestFit="1" customWidth="1"/>
    <col min="27" max="256" width="9" style="16"/>
    <col min="257" max="257" width="17.75" style="16" customWidth="1"/>
    <col min="258" max="260" width="8.75" style="16" customWidth="1"/>
    <col min="261" max="262" width="9" style="16" customWidth="1"/>
    <col min="263" max="263" width="8.375" style="16" customWidth="1"/>
    <col min="264" max="264" width="8.5" style="16" customWidth="1"/>
    <col min="265" max="265" width="8.375" style="16" customWidth="1"/>
    <col min="266" max="266" width="8.75" style="16" customWidth="1"/>
    <col min="267" max="269" width="9" style="16" customWidth="1"/>
    <col min="270" max="272" width="8.75" style="16" customWidth="1"/>
    <col min="273" max="274" width="9" style="16" customWidth="1"/>
    <col min="275" max="275" width="8.375" style="16" customWidth="1"/>
    <col min="276" max="276" width="8.875" style="16" bestFit="1" customWidth="1"/>
    <col min="277" max="277" width="9.375" style="16" customWidth="1"/>
    <col min="278" max="278" width="8.75" style="16" customWidth="1"/>
    <col min="279" max="281" width="9" style="16" customWidth="1"/>
    <col min="282" max="282" width="8.875" style="16" bestFit="1" customWidth="1"/>
    <col min="283" max="512" width="9" style="16"/>
    <col min="513" max="513" width="17.75" style="16" customWidth="1"/>
    <col min="514" max="516" width="8.75" style="16" customWidth="1"/>
    <col min="517" max="518" width="9" style="16" customWidth="1"/>
    <col min="519" max="519" width="8.375" style="16" customWidth="1"/>
    <col min="520" max="520" width="8.5" style="16" customWidth="1"/>
    <col min="521" max="521" width="8.375" style="16" customWidth="1"/>
    <col min="522" max="522" width="8.75" style="16" customWidth="1"/>
    <col min="523" max="525" width="9" style="16" customWidth="1"/>
    <col min="526" max="528" width="8.75" style="16" customWidth="1"/>
    <col min="529" max="530" width="9" style="16" customWidth="1"/>
    <col min="531" max="531" width="8.375" style="16" customWidth="1"/>
    <col min="532" max="532" width="8.875" style="16" bestFit="1" customWidth="1"/>
    <col min="533" max="533" width="9.375" style="16" customWidth="1"/>
    <col min="534" max="534" width="8.75" style="16" customWidth="1"/>
    <col min="535" max="537" width="9" style="16" customWidth="1"/>
    <col min="538" max="538" width="8.875" style="16" bestFit="1" customWidth="1"/>
    <col min="539" max="768" width="9" style="16"/>
    <col min="769" max="769" width="17.75" style="16" customWidth="1"/>
    <col min="770" max="772" width="8.75" style="16" customWidth="1"/>
    <col min="773" max="774" width="9" style="16" customWidth="1"/>
    <col min="775" max="775" width="8.375" style="16" customWidth="1"/>
    <col min="776" max="776" width="8.5" style="16" customWidth="1"/>
    <col min="777" max="777" width="8.375" style="16" customWidth="1"/>
    <col min="778" max="778" width="8.75" style="16" customWidth="1"/>
    <col min="779" max="781" width="9" style="16" customWidth="1"/>
    <col min="782" max="784" width="8.75" style="16" customWidth="1"/>
    <col min="785" max="786" width="9" style="16" customWidth="1"/>
    <col min="787" max="787" width="8.375" style="16" customWidth="1"/>
    <col min="788" max="788" width="8.875" style="16" bestFit="1" customWidth="1"/>
    <col min="789" max="789" width="9.375" style="16" customWidth="1"/>
    <col min="790" max="790" width="8.75" style="16" customWidth="1"/>
    <col min="791" max="793" width="9" style="16" customWidth="1"/>
    <col min="794" max="794" width="8.875" style="16" bestFit="1" customWidth="1"/>
    <col min="795" max="1024" width="9" style="16"/>
    <col min="1025" max="1025" width="17.75" style="16" customWidth="1"/>
    <col min="1026" max="1028" width="8.75" style="16" customWidth="1"/>
    <col min="1029" max="1030" width="9" style="16" customWidth="1"/>
    <col min="1031" max="1031" width="8.375" style="16" customWidth="1"/>
    <col min="1032" max="1032" width="8.5" style="16" customWidth="1"/>
    <col min="1033" max="1033" width="8.375" style="16" customWidth="1"/>
    <col min="1034" max="1034" width="8.75" style="16" customWidth="1"/>
    <col min="1035" max="1037" width="9" style="16" customWidth="1"/>
    <col min="1038" max="1040" width="8.75" style="16" customWidth="1"/>
    <col min="1041" max="1042" width="9" style="16" customWidth="1"/>
    <col min="1043" max="1043" width="8.375" style="16" customWidth="1"/>
    <col min="1044" max="1044" width="8.875" style="16" bestFit="1" customWidth="1"/>
    <col min="1045" max="1045" width="9.375" style="16" customWidth="1"/>
    <col min="1046" max="1046" width="8.75" style="16" customWidth="1"/>
    <col min="1047" max="1049" width="9" style="16" customWidth="1"/>
    <col min="1050" max="1050" width="8.875" style="16" bestFit="1" customWidth="1"/>
    <col min="1051" max="1280" width="9" style="16"/>
    <col min="1281" max="1281" width="17.75" style="16" customWidth="1"/>
    <col min="1282" max="1284" width="8.75" style="16" customWidth="1"/>
    <col min="1285" max="1286" width="9" style="16" customWidth="1"/>
    <col min="1287" max="1287" width="8.375" style="16" customWidth="1"/>
    <col min="1288" max="1288" width="8.5" style="16" customWidth="1"/>
    <col min="1289" max="1289" width="8.375" style="16" customWidth="1"/>
    <col min="1290" max="1290" width="8.75" style="16" customWidth="1"/>
    <col min="1291" max="1293" width="9" style="16" customWidth="1"/>
    <col min="1294" max="1296" width="8.75" style="16" customWidth="1"/>
    <col min="1297" max="1298" width="9" style="16" customWidth="1"/>
    <col min="1299" max="1299" width="8.375" style="16" customWidth="1"/>
    <col min="1300" max="1300" width="8.875" style="16" bestFit="1" customWidth="1"/>
    <col min="1301" max="1301" width="9.375" style="16" customWidth="1"/>
    <col min="1302" max="1302" width="8.75" style="16" customWidth="1"/>
    <col min="1303" max="1305" width="9" style="16" customWidth="1"/>
    <col min="1306" max="1306" width="8.875" style="16" bestFit="1" customWidth="1"/>
    <col min="1307" max="1536" width="9" style="16"/>
    <col min="1537" max="1537" width="17.75" style="16" customWidth="1"/>
    <col min="1538" max="1540" width="8.75" style="16" customWidth="1"/>
    <col min="1541" max="1542" width="9" style="16" customWidth="1"/>
    <col min="1543" max="1543" width="8.375" style="16" customWidth="1"/>
    <col min="1544" max="1544" width="8.5" style="16" customWidth="1"/>
    <col min="1545" max="1545" width="8.375" style="16" customWidth="1"/>
    <col min="1546" max="1546" width="8.75" style="16" customWidth="1"/>
    <col min="1547" max="1549" width="9" style="16" customWidth="1"/>
    <col min="1550" max="1552" width="8.75" style="16" customWidth="1"/>
    <col min="1553" max="1554" width="9" style="16" customWidth="1"/>
    <col min="1555" max="1555" width="8.375" style="16" customWidth="1"/>
    <col min="1556" max="1556" width="8.875" style="16" bestFit="1" customWidth="1"/>
    <col min="1557" max="1557" width="9.375" style="16" customWidth="1"/>
    <col min="1558" max="1558" width="8.75" style="16" customWidth="1"/>
    <col min="1559" max="1561" width="9" style="16" customWidth="1"/>
    <col min="1562" max="1562" width="8.875" style="16" bestFit="1" customWidth="1"/>
    <col min="1563" max="1792" width="9" style="16"/>
    <col min="1793" max="1793" width="17.75" style="16" customWidth="1"/>
    <col min="1794" max="1796" width="8.75" style="16" customWidth="1"/>
    <col min="1797" max="1798" width="9" style="16" customWidth="1"/>
    <col min="1799" max="1799" width="8.375" style="16" customWidth="1"/>
    <col min="1800" max="1800" width="8.5" style="16" customWidth="1"/>
    <col min="1801" max="1801" width="8.375" style="16" customWidth="1"/>
    <col min="1802" max="1802" width="8.75" style="16" customWidth="1"/>
    <col min="1803" max="1805" width="9" style="16" customWidth="1"/>
    <col min="1806" max="1808" width="8.75" style="16" customWidth="1"/>
    <col min="1809" max="1810" width="9" style="16" customWidth="1"/>
    <col min="1811" max="1811" width="8.375" style="16" customWidth="1"/>
    <col min="1812" max="1812" width="8.875" style="16" bestFit="1" customWidth="1"/>
    <col min="1813" max="1813" width="9.375" style="16" customWidth="1"/>
    <col min="1814" max="1814" width="8.75" style="16" customWidth="1"/>
    <col min="1815" max="1817" width="9" style="16" customWidth="1"/>
    <col min="1818" max="1818" width="8.875" style="16" bestFit="1" customWidth="1"/>
    <col min="1819" max="2048" width="9" style="16"/>
    <col min="2049" max="2049" width="17.75" style="16" customWidth="1"/>
    <col min="2050" max="2052" width="8.75" style="16" customWidth="1"/>
    <col min="2053" max="2054" width="9" style="16" customWidth="1"/>
    <col min="2055" max="2055" width="8.375" style="16" customWidth="1"/>
    <col min="2056" max="2056" width="8.5" style="16" customWidth="1"/>
    <col min="2057" max="2057" width="8.375" style="16" customWidth="1"/>
    <col min="2058" max="2058" width="8.75" style="16" customWidth="1"/>
    <col min="2059" max="2061" width="9" style="16" customWidth="1"/>
    <col min="2062" max="2064" width="8.75" style="16" customWidth="1"/>
    <col min="2065" max="2066" width="9" style="16" customWidth="1"/>
    <col min="2067" max="2067" width="8.375" style="16" customWidth="1"/>
    <col min="2068" max="2068" width="8.875" style="16" bestFit="1" customWidth="1"/>
    <col min="2069" max="2069" width="9.375" style="16" customWidth="1"/>
    <col min="2070" max="2070" width="8.75" style="16" customWidth="1"/>
    <col min="2071" max="2073" width="9" style="16" customWidth="1"/>
    <col min="2074" max="2074" width="8.875" style="16" bestFit="1" customWidth="1"/>
    <col min="2075" max="2304" width="9" style="16"/>
    <col min="2305" max="2305" width="17.75" style="16" customWidth="1"/>
    <col min="2306" max="2308" width="8.75" style="16" customWidth="1"/>
    <col min="2309" max="2310" width="9" style="16" customWidth="1"/>
    <col min="2311" max="2311" width="8.375" style="16" customWidth="1"/>
    <col min="2312" max="2312" width="8.5" style="16" customWidth="1"/>
    <col min="2313" max="2313" width="8.375" style="16" customWidth="1"/>
    <col min="2314" max="2314" width="8.75" style="16" customWidth="1"/>
    <col min="2315" max="2317" width="9" style="16" customWidth="1"/>
    <col min="2318" max="2320" width="8.75" style="16" customWidth="1"/>
    <col min="2321" max="2322" width="9" style="16" customWidth="1"/>
    <col min="2323" max="2323" width="8.375" style="16" customWidth="1"/>
    <col min="2324" max="2324" width="8.875" style="16" bestFit="1" customWidth="1"/>
    <col min="2325" max="2325" width="9.375" style="16" customWidth="1"/>
    <col min="2326" max="2326" width="8.75" style="16" customWidth="1"/>
    <col min="2327" max="2329" width="9" style="16" customWidth="1"/>
    <col min="2330" max="2330" width="8.875" style="16" bestFit="1" customWidth="1"/>
    <col min="2331" max="2560" width="9" style="16"/>
    <col min="2561" max="2561" width="17.75" style="16" customWidth="1"/>
    <col min="2562" max="2564" width="8.75" style="16" customWidth="1"/>
    <col min="2565" max="2566" width="9" style="16" customWidth="1"/>
    <col min="2567" max="2567" width="8.375" style="16" customWidth="1"/>
    <col min="2568" max="2568" width="8.5" style="16" customWidth="1"/>
    <col min="2569" max="2569" width="8.375" style="16" customWidth="1"/>
    <col min="2570" max="2570" width="8.75" style="16" customWidth="1"/>
    <col min="2571" max="2573" width="9" style="16" customWidth="1"/>
    <col min="2574" max="2576" width="8.75" style="16" customWidth="1"/>
    <col min="2577" max="2578" width="9" style="16" customWidth="1"/>
    <col min="2579" max="2579" width="8.375" style="16" customWidth="1"/>
    <col min="2580" max="2580" width="8.875" style="16" bestFit="1" customWidth="1"/>
    <col min="2581" max="2581" width="9.375" style="16" customWidth="1"/>
    <col min="2582" max="2582" width="8.75" style="16" customWidth="1"/>
    <col min="2583" max="2585" width="9" style="16" customWidth="1"/>
    <col min="2586" max="2586" width="8.875" style="16" bestFit="1" customWidth="1"/>
    <col min="2587" max="2816" width="9" style="16"/>
    <col min="2817" max="2817" width="17.75" style="16" customWidth="1"/>
    <col min="2818" max="2820" width="8.75" style="16" customWidth="1"/>
    <col min="2821" max="2822" width="9" style="16" customWidth="1"/>
    <col min="2823" max="2823" width="8.375" style="16" customWidth="1"/>
    <col min="2824" max="2824" width="8.5" style="16" customWidth="1"/>
    <col min="2825" max="2825" width="8.375" style="16" customWidth="1"/>
    <col min="2826" max="2826" width="8.75" style="16" customWidth="1"/>
    <col min="2827" max="2829" width="9" style="16" customWidth="1"/>
    <col min="2830" max="2832" width="8.75" style="16" customWidth="1"/>
    <col min="2833" max="2834" width="9" style="16" customWidth="1"/>
    <col min="2835" max="2835" width="8.375" style="16" customWidth="1"/>
    <col min="2836" max="2836" width="8.875" style="16" bestFit="1" customWidth="1"/>
    <col min="2837" max="2837" width="9.375" style="16" customWidth="1"/>
    <col min="2838" max="2838" width="8.75" style="16" customWidth="1"/>
    <col min="2839" max="2841" width="9" style="16" customWidth="1"/>
    <col min="2842" max="2842" width="8.875" style="16" bestFit="1" customWidth="1"/>
    <col min="2843" max="3072" width="9" style="16"/>
    <col min="3073" max="3073" width="17.75" style="16" customWidth="1"/>
    <col min="3074" max="3076" width="8.75" style="16" customWidth="1"/>
    <col min="3077" max="3078" width="9" style="16" customWidth="1"/>
    <col min="3079" max="3079" width="8.375" style="16" customWidth="1"/>
    <col min="3080" max="3080" width="8.5" style="16" customWidth="1"/>
    <col min="3081" max="3081" width="8.375" style="16" customWidth="1"/>
    <col min="3082" max="3082" width="8.75" style="16" customWidth="1"/>
    <col min="3083" max="3085" width="9" style="16" customWidth="1"/>
    <col min="3086" max="3088" width="8.75" style="16" customWidth="1"/>
    <col min="3089" max="3090" width="9" style="16" customWidth="1"/>
    <col min="3091" max="3091" width="8.375" style="16" customWidth="1"/>
    <col min="3092" max="3092" width="8.875" style="16" bestFit="1" customWidth="1"/>
    <col min="3093" max="3093" width="9.375" style="16" customWidth="1"/>
    <col min="3094" max="3094" width="8.75" style="16" customWidth="1"/>
    <col min="3095" max="3097" width="9" style="16" customWidth="1"/>
    <col min="3098" max="3098" width="8.875" style="16" bestFit="1" customWidth="1"/>
    <col min="3099" max="3328" width="9" style="16"/>
    <col min="3329" max="3329" width="17.75" style="16" customWidth="1"/>
    <col min="3330" max="3332" width="8.75" style="16" customWidth="1"/>
    <col min="3333" max="3334" width="9" style="16" customWidth="1"/>
    <col min="3335" max="3335" width="8.375" style="16" customWidth="1"/>
    <col min="3336" max="3336" width="8.5" style="16" customWidth="1"/>
    <col min="3337" max="3337" width="8.375" style="16" customWidth="1"/>
    <col min="3338" max="3338" width="8.75" style="16" customWidth="1"/>
    <col min="3339" max="3341" width="9" style="16" customWidth="1"/>
    <col min="3342" max="3344" width="8.75" style="16" customWidth="1"/>
    <col min="3345" max="3346" width="9" style="16" customWidth="1"/>
    <col min="3347" max="3347" width="8.375" style="16" customWidth="1"/>
    <col min="3348" max="3348" width="8.875" style="16" bestFit="1" customWidth="1"/>
    <col min="3349" max="3349" width="9.375" style="16" customWidth="1"/>
    <col min="3350" max="3350" width="8.75" style="16" customWidth="1"/>
    <col min="3351" max="3353" width="9" style="16" customWidth="1"/>
    <col min="3354" max="3354" width="8.875" style="16" bestFit="1" customWidth="1"/>
    <col min="3355" max="3584" width="9" style="16"/>
    <col min="3585" max="3585" width="17.75" style="16" customWidth="1"/>
    <col min="3586" max="3588" width="8.75" style="16" customWidth="1"/>
    <col min="3589" max="3590" width="9" style="16" customWidth="1"/>
    <col min="3591" max="3591" width="8.375" style="16" customWidth="1"/>
    <col min="3592" max="3592" width="8.5" style="16" customWidth="1"/>
    <col min="3593" max="3593" width="8.375" style="16" customWidth="1"/>
    <col min="3594" max="3594" width="8.75" style="16" customWidth="1"/>
    <col min="3595" max="3597" width="9" style="16" customWidth="1"/>
    <col min="3598" max="3600" width="8.75" style="16" customWidth="1"/>
    <col min="3601" max="3602" width="9" style="16" customWidth="1"/>
    <col min="3603" max="3603" width="8.375" style="16" customWidth="1"/>
    <col min="3604" max="3604" width="8.875" style="16" bestFit="1" customWidth="1"/>
    <col min="3605" max="3605" width="9.375" style="16" customWidth="1"/>
    <col min="3606" max="3606" width="8.75" style="16" customWidth="1"/>
    <col min="3607" max="3609" width="9" style="16" customWidth="1"/>
    <col min="3610" max="3610" width="8.875" style="16" bestFit="1" customWidth="1"/>
    <col min="3611" max="3840" width="9" style="16"/>
    <col min="3841" max="3841" width="17.75" style="16" customWidth="1"/>
    <col min="3842" max="3844" width="8.75" style="16" customWidth="1"/>
    <col min="3845" max="3846" width="9" style="16" customWidth="1"/>
    <col min="3847" max="3847" width="8.375" style="16" customWidth="1"/>
    <col min="3848" max="3848" width="8.5" style="16" customWidth="1"/>
    <col min="3849" max="3849" width="8.375" style="16" customWidth="1"/>
    <col min="3850" max="3850" width="8.75" style="16" customWidth="1"/>
    <col min="3851" max="3853" width="9" style="16" customWidth="1"/>
    <col min="3854" max="3856" width="8.75" style="16" customWidth="1"/>
    <col min="3857" max="3858" width="9" style="16" customWidth="1"/>
    <col min="3859" max="3859" width="8.375" style="16" customWidth="1"/>
    <col min="3860" max="3860" width="8.875" style="16" bestFit="1" customWidth="1"/>
    <col min="3861" max="3861" width="9.375" style="16" customWidth="1"/>
    <col min="3862" max="3862" width="8.75" style="16" customWidth="1"/>
    <col min="3863" max="3865" width="9" style="16" customWidth="1"/>
    <col min="3866" max="3866" width="8.875" style="16" bestFit="1" customWidth="1"/>
    <col min="3867" max="4096" width="9" style="16"/>
    <col min="4097" max="4097" width="17.75" style="16" customWidth="1"/>
    <col min="4098" max="4100" width="8.75" style="16" customWidth="1"/>
    <col min="4101" max="4102" width="9" style="16" customWidth="1"/>
    <col min="4103" max="4103" width="8.375" style="16" customWidth="1"/>
    <col min="4104" max="4104" width="8.5" style="16" customWidth="1"/>
    <col min="4105" max="4105" width="8.375" style="16" customWidth="1"/>
    <col min="4106" max="4106" width="8.75" style="16" customWidth="1"/>
    <col min="4107" max="4109" width="9" style="16" customWidth="1"/>
    <col min="4110" max="4112" width="8.75" style="16" customWidth="1"/>
    <col min="4113" max="4114" width="9" style="16" customWidth="1"/>
    <col min="4115" max="4115" width="8.375" style="16" customWidth="1"/>
    <col min="4116" max="4116" width="8.875" style="16" bestFit="1" customWidth="1"/>
    <col min="4117" max="4117" width="9.375" style="16" customWidth="1"/>
    <col min="4118" max="4118" width="8.75" style="16" customWidth="1"/>
    <col min="4119" max="4121" width="9" style="16" customWidth="1"/>
    <col min="4122" max="4122" width="8.875" style="16" bestFit="1" customWidth="1"/>
    <col min="4123" max="4352" width="9" style="16"/>
    <col min="4353" max="4353" width="17.75" style="16" customWidth="1"/>
    <col min="4354" max="4356" width="8.75" style="16" customWidth="1"/>
    <col min="4357" max="4358" width="9" style="16" customWidth="1"/>
    <col min="4359" max="4359" width="8.375" style="16" customWidth="1"/>
    <col min="4360" max="4360" width="8.5" style="16" customWidth="1"/>
    <col min="4361" max="4361" width="8.375" style="16" customWidth="1"/>
    <col min="4362" max="4362" width="8.75" style="16" customWidth="1"/>
    <col min="4363" max="4365" width="9" style="16" customWidth="1"/>
    <col min="4366" max="4368" width="8.75" style="16" customWidth="1"/>
    <col min="4369" max="4370" width="9" style="16" customWidth="1"/>
    <col min="4371" max="4371" width="8.375" style="16" customWidth="1"/>
    <col min="4372" max="4372" width="8.875" style="16" bestFit="1" customWidth="1"/>
    <col min="4373" max="4373" width="9.375" style="16" customWidth="1"/>
    <col min="4374" max="4374" width="8.75" style="16" customWidth="1"/>
    <col min="4375" max="4377" width="9" style="16" customWidth="1"/>
    <col min="4378" max="4378" width="8.875" style="16" bestFit="1" customWidth="1"/>
    <col min="4379" max="4608" width="9" style="16"/>
    <col min="4609" max="4609" width="17.75" style="16" customWidth="1"/>
    <col min="4610" max="4612" width="8.75" style="16" customWidth="1"/>
    <col min="4613" max="4614" width="9" style="16" customWidth="1"/>
    <col min="4615" max="4615" width="8.375" style="16" customWidth="1"/>
    <col min="4616" max="4616" width="8.5" style="16" customWidth="1"/>
    <col min="4617" max="4617" width="8.375" style="16" customWidth="1"/>
    <col min="4618" max="4618" width="8.75" style="16" customWidth="1"/>
    <col min="4619" max="4621" width="9" style="16" customWidth="1"/>
    <col min="4622" max="4624" width="8.75" style="16" customWidth="1"/>
    <col min="4625" max="4626" width="9" style="16" customWidth="1"/>
    <col min="4627" max="4627" width="8.375" style="16" customWidth="1"/>
    <col min="4628" max="4628" width="8.875" style="16" bestFit="1" customWidth="1"/>
    <col min="4629" max="4629" width="9.375" style="16" customWidth="1"/>
    <col min="4630" max="4630" width="8.75" style="16" customWidth="1"/>
    <col min="4631" max="4633" width="9" style="16" customWidth="1"/>
    <col min="4634" max="4634" width="8.875" style="16" bestFit="1" customWidth="1"/>
    <col min="4635" max="4864" width="9" style="16"/>
    <col min="4865" max="4865" width="17.75" style="16" customWidth="1"/>
    <col min="4866" max="4868" width="8.75" style="16" customWidth="1"/>
    <col min="4869" max="4870" width="9" style="16" customWidth="1"/>
    <col min="4871" max="4871" width="8.375" style="16" customWidth="1"/>
    <col min="4872" max="4872" width="8.5" style="16" customWidth="1"/>
    <col min="4873" max="4873" width="8.375" style="16" customWidth="1"/>
    <col min="4874" max="4874" width="8.75" style="16" customWidth="1"/>
    <col min="4875" max="4877" width="9" style="16" customWidth="1"/>
    <col min="4878" max="4880" width="8.75" style="16" customWidth="1"/>
    <col min="4881" max="4882" width="9" style="16" customWidth="1"/>
    <col min="4883" max="4883" width="8.375" style="16" customWidth="1"/>
    <col min="4884" max="4884" width="8.875" style="16" bestFit="1" customWidth="1"/>
    <col min="4885" max="4885" width="9.375" style="16" customWidth="1"/>
    <col min="4886" max="4886" width="8.75" style="16" customWidth="1"/>
    <col min="4887" max="4889" width="9" style="16" customWidth="1"/>
    <col min="4890" max="4890" width="8.875" style="16" bestFit="1" customWidth="1"/>
    <col min="4891" max="5120" width="9" style="16"/>
    <col min="5121" max="5121" width="17.75" style="16" customWidth="1"/>
    <col min="5122" max="5124" width="8.75" style="16" customWidth="1"/>
    <col min="5125" max="5126" width="9" style="16" customWidth="1"/>
    <col min="5127" max="5127" width="8.375" style="16" customWidth="1"/>
    <col min="5128" max="5128" width="8.5" style="16" customWidth="1"/>
    <col min="5129" max="5129" width="8.375" style="16" customWidth="1"/>
    <col min="5130" max="5130" width="8.75" style="16" customWidth="1"/>
    <col min="5131" max="5133" width="9" style="16" customWidth="1"/>
    <col min="5134" max="5136" width="8.75" style="16" customWidth="1"/>
    <col min="5137" max="5138" width="9" style="16" customWidth="1"/>
    <col min="5139" max="5139" width="8.375" style="16" customWidth="1"/>
    <col min="5140" max="5140" width="8.875" style="16" bestFit="1" customWidth="1"/>
    <col min="5141" max="5141" width="9.375" style="16" customWidth="1"/>
    <col min="5142" max="5142" width="8.75" style="16" customWidth="1"/>
    <col min="5143" max="5145" width="9" style="16" customWidth="1"/>
    <col min="5146" max="5146" width="8.875" style="16" bestFit="1" customWidth="1"/>
    <col min="5147" max="5376" width="9" style="16"/>
    <col min="5377" max="5377" width="17.75" style="16" customWidth="1"/>
    <col min="5378" max="5380" width="8.75" style="16" customWidth="1"/>
    <col min="5381" max="5382" width="9" style="16" customWidth="1"/>
    <col min="5383" max="5383" width="8.375" style="16" customWidth="1"/>
    <col min="5384" max="5384" width="8.5" style="16" customWidth="1"/>
    <col min="5385" max="5385" width="8.375" style="16" customWidth="1"/>
    <col min="5386" max="5386" width="8.75" style="16" customWidth="1"/>
    <col min="5387" max="5389" width="9" style="16" customWidth="1"/>
    <col min="5390" max="5392" width="8.75" style="16" customWidth="1"/>
    <col min="5393" max="5394" width="9" style="16" customWidth="1"/>
    <col min="5395" max="5395" width="8.375" style="16" customWidth="1"/>
    <col min="5396" max="5396" width="8.875" style="16" bestFit="1" customWidth="1"/>
    <col min="5397" max="5397" width="9.375" style="16" customWidth="1"/>
    <col min="5398" max="5398" width="8.75" style="16" customWidth="1"/>
    <col min="5399" max="5401" width="9" style="16" customWidth="1"/>
    <col min="5402" max="5402" width="8.875" style="16" bestFit="1" customWidth="1"/>
    <col min="5403" max="5632" width="9" style="16"/>
    <col min="5633" max="5633" width="17.75" style="16" customWidth="1"/>
    <col min="5634" max="5636" width="8.75" style="16" customWidth="1"/>
    <col min="5637" max="5638" width="9" style="16" customWidth="1"/>
    <col min="5639" max="5639" width="8.375" style="16" customWidth="1"/>
    <col min="5640" max="5640" width="8.5" style="16" customWidth="1"/>
    <col min="5641" max="5641" width="8.375" style="16" customWidth="1"/>
    <col min="5642" max="5642" width="8.75" style="16" customWidth="1"/>
    <col min="5643" max="5645" width="9" style="16" customWidth="1"/>
    <col min="5646" max="5648" width="8.75" style="16" customWidth="1"/>
    <col min="5649" max="5650" width="9" style="16" customWidth="1"/>
    <col min="5651" max="5651" width="8.375" style="16" customWidth="1"/>
    <col min="5652" max="5652" width="8.875" style="16" bestFit="1" customWidth="1"/>
    <col min="5653" max="5653" width="9.375" style="16" customWidth="1"/>
    <col min="5654" max="5654" width="8.75" style="16" customWidth="1"/>
    <col min="5655" max="5657" width="9" style="16" customWidth="1"/>
    <col min="5658" max="5658" width="8.875" style="16" bestFit="1" customWidth="1"/>
    <col min="5659" max="5888" width="9" style="16"/>
    <col min="5889" max="5889" width="17.75" style="16" customWidth="1"/>
    <col min="5890" max="5892" width="8.75" style="16" customWidth="1"/>
    <col min="5893" max="5894" width="9" style="16" customWidth="1"/>
    <col min="5895" max="5895" width="8.375" style="16" customWidth="1"/>
    <col min="5896" max="5896" width="8.5" style="16" customWidth="1"/>
    <col min="5897" max="5897" width="8.375" style="16" customWidth="1"/>
    <col min="5898" max="5898" width="8.75" style="16" customWidth="1"/>
    <col min="5899" max="5901" width="9" style="16" customWidth="1"/>
    <col min="5902" max="5904" width="8.75" style="16" customWidth="1"/>
    <col min="5905" max="5906" width="9" style="16" customWidth="1"/>
    <col min="5907" max="5907" width="8.375" style="16" customWidth="1"/>
    <col min="5908" max="5908" width="8.875" style="16" bestFit="1" customWidth="1"/>
    <col min="5909" max="5909" width="9.375" style="16" customWidth="1"/>
    <col min="5910" max="5910" width="8.75" style="16" customWidth="1"/>
    <col min="5911" max="5913" width="9" style="16" customWidth="1"/>
    <col min="5914" max="5914" width="8.875" style="16" bestFit="1" customWidth="1"/>
    <col min="5915" max="6144" width="9" style="16"/>
    <col min="6145" max="6145" width="17.75" style="16" customWidth="1"/>
    <col min="6146" max="6148" width="8.75" style="16" customWidth="1"/>
    <col min="6149" max="6150" width="9" style="16" customWidth="1"/>
    <col min="6151" max="6151" width="8.375" style="16" customWidth="1"/>
    <col min="6152" max="6152" width="8.5" style="16" customWidth="1"/>
    <col min="6153" max="6153" width="8.375" style="16" customWidth="1"/>
    <col min="6154" max="6154" width="8.75" style="16" customWidth="1"/>
    <col min="6155" max="6157" width="9" style="16" customWidth="1"/>
    <col min="6158" max="6160" width="8.75" style="16" customWidth="1"/>
    <col min="6161" max="6162" width="9" style="16" customWidth="1"/>
    <col min="6163" max="6163" width="8.375" style="16" customWidth="1"/>
    <col min="6164" max="6164" width="8.875" style="16" bestFit="1" customWidth="1"/>
    <col min="6165" max="6165" width="9.375" style="16" customWidth="1"/>
    <col min="6166" max="6166" width="8.75" style="16" customWidth="1"/>
    <col min="6167" max="6169" width="9" style="16" customWidth="1"/>
    <col min="6170" max="6170" width="8.875" style="16" bestFit="1" customWidth="1"/>
    <col min="6171" max="6400" width="9" style="16"/>
    <col min="6401" max="6401" width="17.75" style="16" customWidth="1"/>
    <col min="6402" max="6404" width="8.75" style="16" customWidth="1"/>
    <col min="6405" max="6406" width="9" style="16" customWidth="1"/>
    <col min="6407" max="6407" width="8.375" style="16" customWidth="1"/>
    <col min="6408" max="6408" width="8.5" style="16" customWidth="1"/>
    <col min="6409" max="6409" width="8.375" style="16" customWidth="1"/>
    <col min="6410" max="6410" width="8.75" style="16" customWidth="1"/>
    <col min="6411" max="6413" width="9" style="16" customWidth="1"/>
    <col min="6414" max="6416" width="8.75" style="16" customWidth="1"/>
    <col min="6417" max="6418" width="9" style="16" customWidth="1"/>
    <col min="6419" max="6419" width="8.375" style="16" customWidth="1"/>
    <col min="6420" max="6420" width="8.875" style="16" bestFit="1" customWidth="1"/>
    <col min="6421" max="6421" width="9.375" style="16" customWidth="1"/>
    <col min="6422" max="6422" width="8.75" style="16" customWidth="1"/>
    <col min="6423" max="6425" width="9" style="16" customWidth="1"/>
    <col min="6426" max="6426" width="8.875" style="16" bestFit="1" customWidth="1"/>
    <col min="6427" max="6656" width="9" style="16"/>
    <col min="6657" max="6657" width="17.75" style="16" customWidth="1"/>
    <col min="6658" max="6660" width="8.75" style="16" customWidth="1"/>
    <col min="6661" max="6662" width="9" style="16" customWidth="1"/>
    <col min="6663" max="6663" width="8.375" style="16" customWidth="1"/>
    <col min="6664" max="6664" width="8.5" style="16" customWidth="1"/>
    <col min="6665" max="6665" width="8.375" style="16" customWidth="1"/>
    <col min="6666" max="6666" width="8.75" style="16" customWidth="1"/>
    <col min="6667" max="6669" width="9" style="16" customWidth="1"/>
    <col min="6670" max="6672" width="8.75" style="16" customWidth="1"/>
    <col min="6673" max="6674" width="9" style="16" customWidth="1"/>
    <col min="6675" max="6675" width="8.375" style="16" customWidth="1"/>
    <col min="6676" max="6676" width="8.875" style="16" bestFit="1" customWidth="1"/>
    <col min="6677" max="6677" width="9.375" style="16" customWidth="1"/>
    <col min="6678" max="6678" width="8.75" style="16" customWidth="1"/>
    <col min="6679" max="6681" width="9" style="16" customWidth="1"/>
    <col min="6682" max="6682" width="8.875" style="16" bestFit="1" customWidth="1"/>
    <col min="6683" max="6912" width="9" style="16"/>
    <col min="6913" max="6913" width="17.75" style="16" customWidth="1"/>
    <col min="6914" max="6916" width="8.75" style="16" customWidth="1"/>
    <col min="6917" max="6918" width="9" style="16" customWidth="1"/>
    <col min="6919" max="6919" width="8.375" style="16" customWidth="1"/>
    <col min="6920" max="6920" width="8.5" style="16" customWidth="1"/>
    <col min="6921" max="6921" width="8.375" style="16" customWidth="1"/>
    <col min="6922" max="6922" width="8.75" style="16" customWidth="1"/>
    <col min="6923" max="6925" width="9" style="16" customWidth="1"/>
    <col min="6926" max="6928" width="8.75" style="16" customWidth="1"/>
    <col min="6929" max="6930" width="9" style="16" customWidth="1"/>
    <col min="6931" max="6931" width="8.375" style="16" customWidth="1"/>
    <col min="6932" max="6932" width="8.875" style="16" bestFit="1" customWidth="1"/>
    <col min="6933" max="6933" width="9.375" style="16" customWidth="1"/>
    <col min="6934" max="6934" width="8.75" style="16" customWidth="1"/>
    <col min="6935" max="6937" width="9" style="16" customWidth="1"/>
    <col min="6938" max="6938" width="8.875" style="16" bestFit="1" customWidth="1"/>
    <col min="6939" max="7168" width="9" style="16"/>
    <col min="7169" max="7169" width="17.75" style="16" customWidth="1"/>
    <col min="7170" max="7172" width="8.75" style="16" customWidth="1"/>
    <col min="7173" max="7174" width="9" style="16" customWidth="1"/>
    <col min="7175" max="7175" width="8.375" style="16" customWidth="1"/>
    <col min="7176" max="7176" width="8.5" style="16" customWidth="1"/>
    <col min="7177" max="7177" width="8.375" style="16" customWidth="1"/>
    <col min="7178" max="7178" width="8.75" style="16" customWidth="1"/>
    <col min="7179" max="7181" width="9" style="16" customWidth="1"/>
    <col min="7182" max="7184" width="8.75" style="16" customWidth="1"/>
    <col min="7185" max="7186" width="9" style="16" customWidth="1"/>
    <col min="7187" max="7187" width="8.375" style="16" customWidth="1"/>
    <col min="7188" max="7188" width="8.875" style="16" bestFit="1" customWidth="1"/>
    <col min="7189" max="7189" width="9.375" style="16" customWidth="1"/>
    <col min="7190" max="7190" width="8.75" style="16" customWidth="1"/>
    <col min="7191" max="7193" width="9" style="16" customWidth="1"/>
    <col min="7194" max="7194" width="8.875" style="16" bestFit="1" customWidth="1"/>
    <col min="7195" max="7424" width="9" style="16"/>
    <col min="7425" max="7425" width="17.75" style="16" customWidth="1"/>
    <col min="7426" max="7428" width="8.75" style="16" customWidth="1"/>
    <col min="7429" max="7430" width="9" style="16" customWidth="1"/>
    <col min="7431" max="7431" width="8.375" style="16" customWidth="1"/>
    <col min="7432" max="7432" width="8.5" style="16" customWidth="1"/>
    <col min="7433" max="7433" width="8.375" style="16" customWidth="1"/>
    <col min="7434" max="7434" width="8.75" style="16" customWidth="1"/>
    <col min="7435" max="7437" width="9" style="16" customWidth="1"/>
    <col min="7438" max="7440" width="8.75" style="16" customWidth="1"/>
    <col min="7441" max="7442" width="9" style="16" customWidth="1"/>
    <col min="7443" max="7443" width="8.375" style="16" customWidth="1"/>
    <col min="7444" max="7444" width="8.875" style="16" bestFit="1" customWidth="1"/>
    <col min="7445" max="7445" width="9.375" style="16" customWidth="1"/>
    <col min="7446" max="7446" width="8.75" style="16" customWidth="1"/>
    <col min="7447" max="7449" width="9" style="16" customWidth="1"/>
    <col min="7450" max="7450" width="8.875" style="16" bestFit="1" customWidth="1"/>
    <col min="7451" max="7680" width="9" style="16"/>
    <col min="7681" max="7681" width="17.75" style="16" customWidth="1"/>
    <col min="7682" max="7684" width="8.75" style="16" customWidth="1"/>
    <col min="7685" max="7686" width="9" style="16" customWidth="1"/>
    <col min="7687" max="7687" width="8.375" style="16" customWidth="1"/>
    <col min="7688" max="7688" width="8.5" style="16" customWidth="1"/>
    <col min="7689" max="7689" width="8.375" style="16" customWidth="1"/>
    <col min="7690" max="7690" width="8.75" style="16" customWidth="1"/>
    <col min="7691" max="7693" width="9" style="16" customWidth="1"/>
    <col min="7694" max="7696" width="8.75" style="16" customWidth="1"/>
    <col min="7697" max="7698" width="9" style="16" customWidth="1"/>
    <col min="7699" max="7699" width="8.375" style="16" customWidth="1"/>
    <col min="7700" max="7700" width="8.875" style="16" bestFit="1" customWidth="1"/>
    <col min="7701" max="7701" width="9.375" style="16" customWidth="1"/>
    <col min="7702" max="7702" width="8.75" style="16" customWidth="1"/>
    <col min="7703" max="7705" width="9" style="16" customWidth="1"/>
    <col min="7706" max="7706" width="8.875" style="16" bestFit="1" customWidth="1"/>
    <col min="7707" max="7936" width="9" style="16"/>
    <col min="7937" max="7937" width="17.75" style="16" customWidth="1"/>
    <col min="7938" max="7940" width="8.75" style="16" customWidth="1"/>
    <col min="7941" max="7942" width="9" style="16" customWidth="1"/>
    <col min="7943" max="7943" width="8.375" style="16" customWidth="1"/>
    <col min="7944" max="7944" width="8.5" style="16" customWidth="1"/>
    <col min="7945" max="7945" width="8.375" style="16" customWidth="1"/>
    <col min="7946" max="7946" width="8.75" style="16" customWidth="1"/>
    <col min="7947" max="7949" width="9" style="16" customWidth="1"/>
    <col min="7950" max="7952" width="8.75" style="16" customWidth="1"/>
    <col min="7953" max="7954" width="9" style="16" customWidth="1"/>
    <col min="7955" max="7955" width="8.375" style="16" customWidth="1"/>
    <col min="7956" max="7956" width="8.875" style="16" bestFit="1" customWidth="1"/>
    <col min="7957" max="7957" width="9.375" style="16" customWidth="1"/>
    <col min="7958" max="7958" width="8.75" style="16" customWidth="1"/>
    <col min="7959" max="7961" width="9" style="16" customWidth="1"/>
    <col min="7962" max="7962" width="8.875" style="16" bestFit="1" customWidth="1"/>
    <col min="7963" max="8192" width="9" style="16"/>
    <col min="8193" max="8193" width="17.75" style="16" customWidth="1"/>
    <col min="8194" max="8196" width="8.75" style="16" customWidth="1"/>
    <col min="8197" max="8198" width="9" style="16" customWidth="1"/>
    <col min="8199" max="8199" width="8.375" style="16" customWidth="1"/>
    <col min="8200" max="8200" width="8.5" style="16" customWidth="1"/>
    <col min="8201" max="8201" width="8.375" style="16" customWidth="1"/>
    <col min="8202" max="8202" width="8.75" style="16" customWidth="1"/>
    <col min="8203" max="8205" width="9" style="16" customWidth="1"/>
    <col min="8206" max="8208" width="8.75" style="16" customWidth="1"/>
    <col min="8209" max="8210" width="9" style="16" customWidth="1"/>
    <col min="8211" max="8211" width="8.375" style="16" customWidth="1"/>
    <col min="8212" max="8212" width="8.875" style="16" bestFit="1" customWidth="1"/>
    <col min="8213" max="8213" width="9.375" style="16" customWidth="1"/>
    <col min="8214" max="8214" width="8.75" style="16" customWidth="1"/>
    <col min="8215" max="8217" width="9" style="16" customWidth="1"/>
    <col min="8218" max="8218" width="8.875" style="16" bestFit="1" customWidth="1"/>
    <col min="8219" max="8448" width="9" style="16"/>
    <col min="8449" max="8449" width="17.75" style="16" customWidth="1"/>
    <col min="8450" max="8452" width="8.75" style="16" customWidth="1"/>
    <col min="8453" max="8454" width="9" style="16" customWidth="1"/>
    <col min="8455" max="8455" width="8.375" style="16" customWidth="1"/>
    <col min="8456" max="8456" width="8.5" style="16" customWidth="1"/>
    <col min="8457" max="8457" width="8.375" style="16" customWidth="1"/>
    <col min="8458" max="8458" width="8.75" style="16" customWidth="1"/>
    <col min="8459" max="8461" width="9" style="16" customWidth="1"/>
    <col min="8462" max="8464" width="8.75" style="16" customWidth="1"/>
    <col min="8465" max="8466" width="9" style="16" customWidth="1"/>
    <col min="8467" max="8467" width="8.375" style="16" customWidth="1"/>
    <col min="8468" max="8468" width="8.875" style="16" bestFit="1" customWidth="1"/>
    <col min="8469" max="8469" width="9.375" style="16" customWidth="1"/>
    <col min="8470" max="8470" width="8.75" style="16" customWidth="1"/>
    <col min="8471" max="8473" width="9" style="16" customWidth="1"/>
    <col min="8474" max="8474" width="8.875" style="16" bestFit="1" customWidth="1"/>
    <col min="8475" max="8704" width="9" style="16"/>
    <col min="8705" max="8705" width="17.75" style="16" customWidth="1"/>
    <col min="8706" max="8708" width="8.75" style="16" customWidth="1"/>
    <col min="8709" max="8710" width="9" style="16" customWidth="1"/>
    <col min="8711" max="8711" width="8.375" style="16" customWidth="1"/>
    <col min="8712" max="8712" width="8.5" style="16" customWidth="1"/>
    <col min="8713" max="8713" width="8.375" style="16" customWidth="1"/>
    <col min="8714" max="8714" width="8.75" style="16" customWidth="1"/>
    <col min="8715" max="8717" width="9" style="16" customWidth="1"/>
    <col min="8718" max="8720" width="8.75" style="16" customWidth="1"/>
    <col min="8721" max="8722" width="9" style="16" customWidth="1"/>
    <col min="8723" max="8723" width="8.375" style="16" customWidth="1"/>
    <col min="8724" max="8724" width="8.875" style="16" bestFit="1" customWidth="1"/>
    <col min="8725" max="8725" width="9.375" style="16" customWidth="1"/>
    <col min="8726" max="8726" width="8.75" style="16" customWidth="1"/>
    <col min="8727" max="8729" width="9" style="16" customWidth="1"/>
    <col min="8730" max="8730" width="8.875" style="16" bestFit="1" customWidth="1"/>
    <col min="8731" max="8960" width="9" style="16"/>
    <col min="8961" max="8961" width="17.75" style="16" customWidth="1"/>
    <col min="8962" max="8964" width="8.75" style="16" customWidth="1"/>
    <col min="8965" max="8966" width="9" style="16" customWidth="1"/>
    <col min="8967" max="8967" width="8.375" style="16" customWidth="1"/>
    <col min="8968" max="8968" width="8.5" style="16" customWidth="1"/>
    <col min="8969" max="8969" width="8.375" style="16" customWidth="1"/>
    <col min="8970" max="8970" width="8.75" style="16" customWidth="1"/>
    <col min="8971" max="8973" width="9" style="16" customWidth="1"/>
    <col min="8974" max="8976" width="8.75" style="16" customWidth="1"/>
    <col min="8977" max="8978" width="9" style="16" customWidth="1"/>
    <col min="8979" max="8979" width="8.375" style="16" customWidth="1"/>
    <col min="8980" max="8980" width="8.875" style="16" bestFit="1" customWidth="1"/>
    <col min="8981" max="8981" width="9.375" style="16" customWidth="1"/>
    <col min="8982" max="8982" width="8.75" style="16" customWidth="1"/>
    <col min="8983" max="8985" width="9" style="16" customWidth="1"/>
    <col min="8986" max="8986" width="8.875" style="16" bestFit="1" customWidth="1"/>
    <col min="8987" max="9216" width="9" style="16"/>
    <col min="9217" max="9217" width="17.75" style="16" customWidth="1"/>
    <col min="9218" max="9220" width="8.75" style="16" customWidth="1"/>
    <col min="9221" max="9222" width="9" style="16" customWidth="1"/>
    <col min="9223" max="9223" width="8.375" style="16" customWidth="1"/>
    <col min="9224" max="9224" width="8.5" style="16" customWidth="1"/>
    <col min="9225" max="9225" width="8.375" style="16" customWidth="1"/>
    <col min="9226" max="9226" width="8.75" style="16" customWidth="1"/>
    <col min="9227" max="9229" width="9" style="16" customWidth="1"/>
    <col min="9230" max="9232" width="8.75" style="16" customWidth="1"/>
    <col min="9233" max="9234" width="9" style="16" customWidth="1"/>
    <col min="9235" max="9235" width="8.375" style="16" customWidth="1"/>
    <col min="9236" max="9236" width="8.875" style="16" bestFit="1" customWidth="1"/>
    <col min="9237" max="9237" width="9.375" style="16" customWidth="1"/>
    <col min="9238" max="9238" width="8.75" style="16" customWidth="1"/>
    <col min="9239" max="9241" width="9" style="16" customWidth="1"/>
    <col min="9242" max="9242" width="8.875" style="16" bestFit="1" customWidth="1"/>
    <col min="9243" max="9472" width="9" style="16"/>
    <col min="9473" max="9473" width="17.75" style="16" customWidth="1"/>
    <col min="9474" max="9476" width="8.75" style="16" customWidth="1"/>
    <col min="9477" max="9478" width="9" style="16" customWidth="1"/>
    <col min="9479" max="9479" width="8.375" style="16" customWidth="1"/>
    <col min="9480" max="9480" width="8.5" style="16" customWidth="1"/>
    <col min="9481" max="9481" width="8.375" style="16" customWidth="1"/>
    <col min="9482" max="9482" width="8.75" style="16" customWidth="1"/>
    <col min="9483" max="9485" width="9" style="16" customWidth="1"/>
    <col min="9486" max="9488" width="8.75" style="16" customWidth="1"/>
    <col min="9489" max="9490" width="9" style="16" customWidth="1"/>
    <col min="9491" max="9491" width="8.375" style="16" customWidth="1"/>
    <col min="9492" max="9492" width="8.875" style="16" bestFit="1" customWidth="1"/>
    <col min="9493" max="9493" width="9.375" style="16" customWidth="1"/>
    <col min="9494" max="9494" width="8.75" style="16" customWidth="1"/>
    <col min="9495" max="9497" width="9" style="16" customWidth="1"/>
    <col min="9498" max="9498" width="8.875" style="16" bestFit="1" customWidth="1"/>
    <col min="9499" max="9728" width="9" style="16"/>
    <col min="9729" max="9729" width="17.75" style="16" customWidth="1"/>
    <col min="9730" max="9732" width="8.75" style="16" customWidth="1"/>
    <col min="9733" max="9734" width="9" style="16" customWidth="1"/>
    <col min="9735" max="9735" width="8.375" style="16" customWidth="1"/>
    <col min="9736" max="9736" width="8.5" style="16" customWidth="1"/>
    <col min="9737" max="9737" width="8.375" style="16" customWidth="1"/>
    <col min="9738" max="9738" width="8.75" style="16" customWidth="1"/>
    <col min="9739" max="9741" width="9" style="16" customWidth="1"/>
    <col min="9742" max="9744" width="8.75" style="16" customWidth="1"/>
    <col min="9745" max="9746" width="9" style="16" customWidth="1"/>
    <col min="9747" max="9747" width="8.375" style="16" customWidth="1"/>
    <col min="9748" max="9748" width="8.875" style="16" bestFit="1" customWidth="1"/>
    <col min="9749" max="9749" width="9.375" style="16" customWidth="1"/>
    <col min="9750" max="9750" width="8.75" style="16" customWidth="1"/>
    <col min="9751" max="9753" width="9" style="16" customWidth="1"/>
    <col min="9754" max="9754" width="8.875" style="16" bestFit="1" customWidth="1"/>
    <col min="9755" max="9984" width="9" style="16"/>
    <col min="9985" max="9985" width="17.75" style="16" customWidth="1"/>
    <col min="9986" max="9988" width="8.75" style="16" customWidth="1"/>
    <col min="9989" max="9990" width="9" style="16" customWidth="1"/>
    <col min="9991" max="9991" width="8.375" style="16" customWidth="1"/>
    <col min="9992" max="9992" width="8.5" style="16" customWidth="1"/>
    <col min="9993" max="9993" width="8.375" style="16" customWidth="1"/>
    <col min="9994" max="9994" width="8.75" style="16" customWidth="1"/>
    <col min="9995" max="9997" width="9" style="16" customWidth="1"/>
    <col min="9998" max="10000" width="8.75" style="16" customWidth="1"/>
    <col min="10001" max="10002" width="9" style="16" customWidth="1"/>
    <col min="10003" max="10003" width="8.375" style="16" customWidth="1"/>
    <col min="10004" max="10004" width="8.875" style="16" bestFit="1" customWidth="1"/>
    <col min="10005" max="10005" width="9.375" style="16" customWidth="1"/>
    <col min="10006" max="10006" width="8.75" style="16" customWidth="1"/>
    <col min="10007" max="10009" width="9" style="16" customWidth="1"/>
    <col min="10010" max="10010" width="8.875" style="16" bestFit="1" customWidth="1"/>
    <col min="10011" max="10240" width="9" style="16"/>
    <col min="10241" max="10241" width="17.75" style="16" customWidth="1"/>
    <col min="10242" max="10244" width="8.75" style="16" customWidth="1"/>
    <col min="10245" max="10246" width="9" style="16" customWidth="1"/>
    <col min="10247" max="10247" width="8.375" style="16" customWidth="1"/>
    <col min="10248" max="10248" width="8.5" style="16" customWidth="1"/>
    <col min="10249" max="10249" width="8.375" style="16" customWidth="1"/>
    <col min="10250" max="10250" width="8.75" style="16" customWidth="1"/>
    <col min="10251" max="10253" width="9" style="16" customWidth="1"/>
    <col min="10254" max="10256" width="8.75" style="16" customWidth="1"/>
    <col min="10257" max="10258" width="9" style="16" customWidth="1"/>
    <col min="10259" max="10259" width="8.375" style="16" customWidth="1"/>
    <col min="10260" max="10260" width="8.875" style="16" bestFit="1" customWidth="1"/>
    <col min="10261" max="10261" width="9.375" style="16" customWidth="1"/>
    <col min="10262" max="10262" width="8.75" style="16" customWidth="1"/>
    <col min="10263" max="10265" width="9" style="16" customWidth="1"/>
    <col min="10266" max="10266" width="8.875" style="16" bestFit="1" customWidth="1"/>
    <col min="10267" max="10496" width="9" style="16"/>
    <col min="10497" max="10497" width="17.75" style="16" customWidth="1"/>
    <col min="10498" max="10500" width="8.75" style="16" customWidth="1"/>
    <col min="10501" max="10502" width="9" style="16" customWidth="1"/>
    <col min="10503" max="10503" width="8.375" style="16" customWidth="1"/>
    <col min="10504" max="10504" width="8.5" style="16" customWidth="1"/>
    <col min="10505" max="10505" width="8.375" style="16" customWidth="1"/>
    <col min="10506" max="10506" width="8.75" style="16" customWidth="1"/>
    <col min="10507" max="10509" width="9" style="16" customWidth="1"/>
    <col min="10510" max="10512" width="8.75" style="16" customWidth="1"/>
    <col min="10513" max="10514" width="9" style="16" customWidth="1"/>
    <col min="10515" max="10515" width="8.375" style="16" customWidth="1"/>
    <col min="10516" max="10516" width="8.875" style="16" bestFit="1" customWidth="1"/>
    <col min="10517" max="10517" width="9.375" style="16" customWidth="1"/>
    <col min="10518" max="10518" width="8.75" style="16" customWidth="1"/>
    <col min="10519" max="10521" width="9" style="16" customWidth="1"/>
    <col min="10522" max="10522" width="8.875" style="16" bestFit="1" customWidth="1"/>
    <col min="10523" max="10752" width="9" style="16"/>
    <col min="10753" max="10753" width="17.75" style="16" customWidth="1"/>
    <col min="10754" max="10756" width="8.75" style="16" customWidth="1"/>
    <col min="10757" max="10758" width="9" style="16" customWidth="1"/>
    <col min="10759" max="10759" width="8.375" style="16" customWidth="1"/>
    <col min="10760" max="10760" width="8.5" style="16" customWidth="1"/>
    <col min="10761" max="10761" width="8.375" style="16" customWidth="1"/>
    <col min="10762" max="10762" width="8.75" style="16" customWidth="1"/>
    <col min="10763" max="10765" width="9" style="16" customWidth="1"/>
    <col min="10766" max="10768" width="8.75" style="16" customWidth="1"/>
    <col min="10769" max="10770" width="9" style="16" customWidth="1"/>
    <col min="10771" max="10771" width="8.375" style="16" customWidth="1"/>
    <col min="10772" max="10772" width="8.875" style="16" bestFit="1" customWidth="1"/>
    <col min="10773" max="10773" width="9.375" style="16" customWidth="1"/>
    <col min="10774" max="10774" width="8.75" style="16" customWidth="1"/>
    <col min="10775" max="10777" width="9" style="16" customWidth="1"/>
    <col min="10778" max="10778" width="8.875" style="16" bestFit="1" customWidth="1"/>
    <col min="10779" max="11008" width="9" style="16"/>
    <col min="11009" max="11009" width="17.75" style="16" customWidth="1"/>
    <col min="11010" max="11012" width="8.75" style="16" customWidth="1"/>
    <col min="11013" max="11014" width="9" style="16" customWidth="1"/>
    <col min="11015" max="11015" width="8.375" style="16" customWidth="1"/>
    <col min="11016" max="11016" width="8.5" style="16" customWidth="1"/>
    <col min="11017" max="11017" width="8.375" style="16" customWidth="1"/>
    <col min="11018" max="11018" width="8.75" style="16" customWidth="1"/>
    <col min="11019" max="11021" width="9" style="16" customWidth="1"/>
    <col min="11022" max="11024" width="8.75" style="16" customWidth="1"/>
    <col min="11025" max="11026" width="9" style="16" customWidth="1"/>
    <col min="11027" max="11027" width="8.375" style="16" customWidth="1"/>
    <col min="11028" max="11028" width="8.875" style="16" bestFit="1" customWidth="1"/>
    <col min="11029" max="11029" width="9.375" style="16" customWidth="1"/>
    <col min="11030" max="11030" width="8.75" style="16" customWidth="1"/>
    <col min="11031" max="11033" width="9" style="16" customWidth="1"/>
    <col min="11034" max="11034" width="8.875" style="16" bestFit="1" customWidth="1"/>
    <col min="11035" max="11264" width="9" style="16"/>
    <col min="11265" max="11265" width="17.75" style="16" customWidth="1"/>
    <col min="11266" max="11268" width="8.75" style="16" customWidth="1"/>
    <col min="11269" max="11270" width="9" style="16" customWidth="1"/>
    <col min="11271" max="11271" width="8.375" style="16" customWidth="1"/>
    <col min="11272" max="11272" width="8.5" style="16" customWidth="1"/>
    <col min="11273" max="11273" width="8.375" style="16" customWidth="1"/>
    <col min="11274" max="11274" width="8.75" style="16" customWidth="1"/>
    <col min="11275" max="11277" width="9" style="16" customWidth="1"/>
    <col min="11278" max="11280" width="8.75" style="16" customWidth="1"/>
    <col min="11281" max="11282" width="9" style="16" customWidth="1"/>
    <col min="11283" max="11283" width="8.375" style="16" customWidth="1"/>
    <col min="11284" max="11284" width="8.875" style="16" bestFit="1" customWidth="1"/>
    <col min="11285" max="11285" width="9.375" style="16" customWidth="1"/>
    <col min="11286" max="11286" width="8.75" style="16" customWidth="1"/>
    <col min="11287" max="11289" width="9" style="16" customWidth="1"/>
    <col min="11290" max="11290" width="8.875" style="16" bestFit="1" customWidth="1"/>
    <col min="11291" max="11520" width="9" style="16"/>
    <col min="11521" max="11521" width="17.75" style="16" customWidth="1"/>
    <col min="11522" max="11524" width="8.75" style="16" customWidth="1"/>
    <col min="11525" max="11526" width="9" style="16" customWidth="1"/>
    <col min="11527" max="11527" width="8.375" style="16" customWidth="1"/>
    <col min="11528" max="11528" width="8.5" style="16" customWidth="1"/>
    <col min="11529" max="11529" width="8.375" style="16" customWidth="1"/>
    <col min="11530" max="11530" width="8.75" style="16" customWidth="1"/>
    <col min="11531" max="11533" width="9" style="16" customWidth="1"/>
    <col min="11534" max="11536" width="8.75" style="16" customWidth="1"/>
    <col min="11537" max="11538" width="9" style="16" customWidth="1"/>
    <col min="11539" max="11539" width="8.375" style="16" customWidth="1"/>
    <col min="11540" max="11540" width="8.875" style="16" bestFit="1" customWidth="1"/>
    <col min="11541" max="11541" width="9.375" style="16" customWidth="1"/>
    <col min="11542" max="11542" width="8.75" style="16" customWidth="1"/>
    <col min="11543" max="11545" width="9" style="16" customWidth="1"/>
    <col min="11546" max="11546" width="8.875" style="16" bestFit="1" customWidth="1"/>
    <col min="11547" max="11776" width="9" style="16"/>
    <col min="11777" max="11777" width="17.75" style="16" customWidth="1"/>
    <col min="11778" max="11780" width="8.75" style="16" customWidth="1"/>
    <col min="11781" max="11782" width="9" style="16" customWidth="1"/>
    <col min="11783" max="11783" width="8.375" style="16" customWidth="1"/>
    <col min="11784" max="11784" width="8.5" style="16" customWidth="1"/>
    <col min="11785" max="11785" width="8.375" style="16" customWidth="1"/>
    <col min="11786" max="11786" width="8.75" style="16" customWidth="1"/>
    <col min="11787" max="11789" width="9" style="16" customWidth="1"/>
    <col min="11790" max="11792" width="8.75" style="16" customWidth="1"/>
    <col min="11793" max="11794" width="9" style="16" customWidth="1"/>
    <col min="11795" max="11795" width="8.375" style="16" customWidth="1"/>
    <col min="11796" max="11796" width="8.875" style="16" bestFit="1" customWidth="1"/>
    <col min="11797" max="11797" width="9.375" style="16" customWidth="1"/>
    <col min="11798" max="11798" width="8.75" style="16" customWidth="1"/>
    <col min="11799" max="11801" width="9" style="16" customWidth="1"/>
    <col min="11802" max="11802" width="8.875" style="16" bestFit="1" customWidth="1"/>
    <col min="11803" max="12032" width="9" style="16"/>
    <col min="12033" max="12033" width="17.75" style="16" customWidth="1"/>
    <col min="12034" max="12036" width="8.75" style="16" customWidth="1"/>
    <col min="12037" max="12038" width="9" style="16" customWidth="1"/>
    <col min="12039" max="12039" width="8.375" style="16" customWidth="1"/>
    <col min="12040" max="12040" width="8.5" style="16" customWidth="1"/>
    <col min="12041" max="12041" width="8.375" style="16" customWidth="1"/>
    <col min="12042" max="12042" width="8.75" style="16" customWidth="1"/>
    <col min="12043" max="12045" width="9" style="16" customWidth="1"/>
    <col min="12046" max="12048" width="8.75" style="16" customWidth="1"/>
    <col min="12049" max="12050" width="9" style="16" customWidth="1"/>
    <col min="12051" max="12051" width="8.375" style="16" customWidth="1"/>
    <col min="12052" max="12052" width="8.875" style="16" bestFit="1" customWidth="1"/>
    <col min="12053" max="12053" width="9.375" style="16" customWidth="1"/>
    <col min="12054" max="12054" width="8.75" style="16" customWidth="1"/>
    <col min="12055" max="12057" width="9" style="16" customWidth="1"/>
    <col min="12058" max="12058" width="8.875" style="16" bestFit="1" customWidth="1"/>
    <col min="12059" max="12288" width="9" style="16"/>
    <col min="12289" max="12289" width="17.75" style="16" customWidth="1"/>
    <col min="12290" max="12292" width="8.75" style="16" customWidth="1"/>
    <col min="12293" max="12294" width="9" style="16" customWidth="1"/>
    <col min="12295" max="12295" width="8.375" style="16" customWidth="1"/>
    <col min="12296" max="12296" width="8.5" style="16" customWidth="1"/>
    <col min="12297" max="12297" width="8.375" style="16" customWidth="1"/>
    <col min="12298" max="12298" width="8.75" style="16" customWidth="1"/>
    <col min="12299" max="12301" width="9" style="16" customWidth="1"/>
    <col min="12302" max="12304" width="8.75" style="16" customWidth="1"/>
    <col min="12305" max="12306" width="9" style="16" customWidth="1"/>
    <col min="12307" max="12307" width="8.375" style="16" customWidth="1"/>
    <col min="12308" max="12308" width="8.875" style="16" bestFit="1" customWidth="1"/>
    <col min="12309" max="12309" width="9.375" style="16" customWidth="1"/>
    <col min="12310" max="12310" width="8.75" style="16" customWidth="1"/>
    <col min="12311" max="12313" width="9" style="16" customWidth="1"/>
    <col min="12314" max="12314" width="8.875" style="16" bestFit="1" customWidth="1"/>
    <col min="12315" max="12544" width="9" style="16"/>
    <col min="12545" max="12545" width="17.75" style="16" customWidth="1"/>
    <col min="12546" max="12548" width="8.75" style="16" customWidth="1"/>
    <col min="12549" max="12550" width="9" style="16" customWidth="1"/>
    <col min="12551" max="12551" width="8.375" style="16" customWidth="1"/>
    <col min="12552" max="12552" width="8.5" style="16" customWidth="1"/>
    <col min="12553" max="12553" width="8.375" style="16" customWidth="1"/>
    <col min="12554" max="12554" width="8.75" style="16" customWidth="1"/>
    <col min="12555" max="12557" width="9" style="16" customWidth="1"/>
    <col min="12558" max="12560" width="8.75" style="16" customWidth="1"/>
    <col min="12561" max="12562" width="9" style="16" customWidth="1"/>
    <col min="12563" max="12563" width="8.375" style="16" customWidth="1"/>
    <col min="12564" max="12564" width="8.875" style="16" bestFit="1" customWidth="1"/>
    <col min="12565" max="12565" width="9.375" style="16" customWidth="1"/>
    <col min="12566" max="12566" width="8.75" style="16" customWidth="1"/>
    <col min="12567" max="12569" width="9" style="16" customWidth="1"/>
    <col min="12570" max="12570" width="8.875" style="16" bestFit="1" customWidth="1"/>
    <col min="12571" max="12800" width="9" style="16"/>
    <col min="12801" max="12801" width="17.75" style="16" customWidth="1"/>
    <col min="12802" max="12804" width="8.75" style="16" customWidth="1"/>
    <col min="12805" max="12806" width="9" style="16" customWidth="1"/>
    <col min="12807" max="12807" width="8.375" style="16" customWidth="1"/>
    <col min="12808" max="12808" width="8.5" style="16" customWidth="1"/>
    <col min="12809" max="12809" width="8.375" style="16" customWidth="1"/>
    <col min="12810" max="12810" width="8.75" style="16" customWidth="1"/>
    <col min="12811" max="12813" width="9" style="16" customWidth="1"/>
    <col min="12814" max="12816" width="8.75" style="16" customWidth="1"/>
    <col min="12817" max="12818" width="9" style="16" customWidth="1"/>
    <col min="12819" max="12819" width="8.375" style="16" customWidth="1"/>
    <col min="12820" max="12820" width="8.875" style="16" bestFit="1" customWidth="1"/>
    <col min="12821" max="12821" width="9.375" style="16" customWidth="1"/>
    <col min="12822" max="12822" width="8.75" style="16" customWidth="1"/>
    <col min="12823" max="12825" width="9" style="16" customWidth="1"/>
    <col min="12826" max="12826" width="8.875" style="16" bestFit="1" customWidth="1"/>
    <col min="12827" max="13056" width="9" style="16"/>
    <col min="13057" max="13057" width="17.75" style="16" customWidth="1"/>
    <col min="13058" max="13060" width="8.75" style="16" customWidth="1"/>
    <col min="13061" max="13062" width="9" style="16" customWidth="1"/>
    <col min="13063" max="13063" width="8.375" style="16" customWidth="1"/>
    <col min="13064" max="13064" width="8.5" style="16" customWidth="1"/>
    <col min="13065" max="13065" width="8.375" style="16" customWidth="1"/>
    <col min="13066" max="13066" width="8.75" style="16" customWidth="1"/>
    <col min="13067" max="13069" width="9" style="16" customWidth="1"/>
    <col min="13070" max="13072" width="8.75" style="16" customWidth="1"/>
    <col min="13073" max="13074" width="9" style="16" customWidth="1"/>
    <col min="13075" max="13075" width="8.375" style="16" customWidth="1"/>
    <col min="13076" max="13076" width="8.875" style="16" bestFit="1" customWidth="1"/>
    <col min="13077" max="13077" width="9.375" style="16" customWidth="1"/>
    <col min="13078" max="13078" width="8.75" style="16" customWidth="1"/>
    <col min="13079" max="13081" width="9" style="16" customWidth="1"/>
    <col min="13082" max="13082" width="8.875" style="16" bestFit="1" customWidth="1"/>
    <col min="13083" max="13312" width="9" style="16"/>
    <col min="13313" max="13313" width="17.75" style="16" customWidth="1"/>
    <col min="13314" max="13316" width="8.75" style="16" customWidth="1"/>
    <col min="13317" max="13318" width="9" style="16" customWidth="1"/>
    <col min="13319" max="13319" width="8.375" style="16" customWidth="1"/>
    <col min="13320" max="13320" width="8.5" style="16" customWidth="1"/>
    <col min="13321" max="13321" width="8.375" style="16" customWidth="1"/>
    <col min="13322" max="13322" width="8.75" style="16" customWidth="1"/>
    <col min="13323" max="13325" width="9" style="16" customWidth="1"/>
    <col min="13326" max="13328" width="8.75" style="16" customWidth="1"/>
    <col min="13329" max="13330" width="9" style="16" customWidth="1"/>
    <col min="13331" max="13331" width="8.375" style="16" customWidth="1"/>
    <col min="13332" max="13332" width="8.875" style="16" bestFit="1" customWidth="1"/>
    <col min="13333" max="13333" width="9.375" style="16" customWidth="1"/>
    <col min="13334" max="13334" width="8.75" style="16" customWidth="1"/>
    <col min="13335" max="13337" width="9" style="16" customWidth="1"/>
    <col min="13338" max="13338" width="8.875" style="16" bestFit="1" customWidth="1"/>
    <col min="13339" max="13568" width="9" style="16"/>
    <col min="13569" max="13569" width="17.75" style="16" customWidth="1"/>
    <col min="13570" max="13572" width="8.75" style="16" customWidth="1"/>
    <col min="13573" max="13574" width="9" style="16" customWidth="1"/>
    <col min="13575" max="13575" width="8.375" style="16" customWidth="1"/>
    <col min="13576" max="13576" width="8.5" style="16" customWidth="1"/>
    <col min="13577" max="13577" width="8.375" style="16" customWidth="1"/>
    <col min="13578" max="13578" width="8.75" style="16" customWidth="1"/>
    <col min="13579" max="13581" width="9" style="16" customWidth="1"/>
    <col min="13582" max="13584" width="8.75" style="16" customWidth="1"/>
    <col min="13585" max="13586" width="9" style="16" customWidth="1"/>
    <col min="13587" max="13587" width="8.375" style="16" customWidth="1"/>
    <col min="13588" max="13588" width="8.875" style="16" bestFit="1" customWidth="1"/>
    <col min="13589" max="13589" width="9.375" style="16" customWidth="1"/>
    <col min="13590" max="13590" width="8.75" style="16" customWidth="1"/>
    <col min="13591" max="13593" width="9" style="16" customWidth="1"/>
    <col min="13594" max="13594" width="8.875" style="16" bestFit="1" customWidth="1"/>
    <col min="13595" max="13824" width="9" style="16"/>
    <col min="13825" max="13825" width="17.75" style="16" customWidth="1"/>
    <col min="13826" max="13828" width="8.75" style="16" customWidth="1"/>
    <col min="13829" max="13830" width="9" style="16" customWidth="1"/>
    <col min="13831" max="13831" width="8.375" style="16" customWidth="1"/>
    <col min="13832" max="13832" width="8.5" style="16" customWidth="1"/>
    <col min="13833" max="13833" width="8.375" style="16" customWidth="1"/>
    <col min="13834" max="13834" width="8.75" style="16" customWidth="1"/>
    <col min="13835" max="13837" width="9" style="16" customWidth="1"/>
    <col min="13838" max="13840" width="8.75" style="16" customWidth="1"/>
    <col min="13841" max="13842" width="9" style="16" customWidth="1"/>
    <col min="13843" max="13843" width="8.375" style="16" customWidth="1"/>
    <col min="13844" max="13844" width="8.875" style="16" bestFit="1" customWidth="1"/>
    <col min="13845" max="13845" width="9.375" style="16" customWidth="1"/>
    <col min="13846" max="13846" width="8.75" style="16" customWidth="1"/>
    <col min="13847" max="13849" width="9" style="16" customWidth="1"/>
    <col min="13850" max="13850" width="8.875" style="16" bestFit="1" customWidth="1"/>
    <col min="13851" max="14080" width="9" style="16"/>
    <col min="14081" max="14081" width="17.75" style="16" customWidth="1"/>
    <col min="14082" max="14084" width="8.75" style="16" customWidth="1"/>
    <col min="14085" max="14086" width="9" style="16" customWidth="1"/>
    <col min="14087" max="14087" width="8.375" style="16" customWidth="1"/>
    <col min="14088" max="14088" width="8.5" style="16" customWidth="1"/>
    <col min="14089" max="14089" width="8.375" style="16" customWidth="1"/>
    <col min="14090" max="14090" width="8.75" style="16" customWidth="1"/>
    <col min="14091" max="14093" width="9" style="16" customWidth="1"/>
    <col min="14094" max="14096" width="8.75" style="16" customWidth="1"/>
    <col min="14097" max="14098" width="9" style="16" customWidth="1"/>
    <col min="14099" max="14099" width="8.375" style="16" customWidth="1"/>
    <col min="14100" max="14100" width="8.875" style="16" bestFit="1" customWidth="1"/>
    <col min="14101" max="14101" width="9.375" style="16" customWidth="1"/>
    <col min="14102" max="14102" width="8.75" style="16" customWidth="1"/>
    <col min="14103" max="14105" width="9" style="16" customWidth="1"/>
    <col min="14106" max="14106" width="8.875" style="16" bestFit="1" customWidth="1"/>
    <col min="14107" max="14336" width="9" style="16"/>
    <col min="14337" max="14337" width="17.75" style="16" customWidth="1"/>
    <col min="14338" max="14340" width="8.75" style="16" customWidth="1"/>
    <col min="14341" max="14342" width="9" style="16" customWidth="1"/>
    <col min="14343" max="14343" width="8.375" style="16" customWidth="1"/>
    <col min="14344" max="14344" width="8.5" style="16" customWidth="1"/>
    <col min="14345" max="14345" width="8.375" style="16" customWidth="1"/>
    <col min="14346" max="14346" width="8.75" style="16" customWidth="1"/>
    <col min="14347" max="14349" width="9" style="16" customWidth="1"/>
    <col min="14350" max="14352" width="8.75" style="16" customWidth="1"/>
    <col min="14353" max="14354" width="9" style="16" customWidth="1"/>
    <col min="14355" max="14355" width="8.375" style="16" customWidth="1"/>
    <col min="14356" max="14356" width="8.875" style="16" bestFit="1" customWidth="1"/>
    <col min="14357" max="14357" width="9.375" style="16" customWidth="1"/>
    <col min="14358" max="14358" width="8.75" style="16" customWidth="1"/>
    <col min="14359" max="14361" width="9" style="16" customWidth="1"/>
    <col min="14362" max="14362" width="8.875" style="16" bestFit="1" customWidth="1"/>
    <col min="14363" max="14592" width="9" style="16"/>
    <col min="14593" max="14593" width="17.75" style="16" customWidth="1"/>
    <col min="14594" max="14596" width="8.75" style="16" customWidth="1"/>
    <col min="14597" max="14598" width="9" style="16" customWidth="1"/>
    <col min="14599" max="14599" width="8.375" style="16" customWidth="1"/>
    <col min="14600" max="14600" width="8.5" style="16" customWidth="1"/>
    <col min="14601" max="14601" width="8.375" style="16" customWidth="1"/>
    <col min="14602" max="14602" width="8.75" style="16" customWidth="1"/>
    <col min="14603" max="14605" width="9" style="16" customWidth="1"/>
    <col min="14606" max="14608" width="8.75" style="16" customWidth="1"/>
    <col min="14609" max="14610" width="9" style="16" customWidth="1"/>
    <col min="14611" max="14611" width="8.375" style="16" customWidth="1"/>
    <col min="14612" max="14612" width="8.875" style="16" bestFit="1" customWidth="1"/>
    <col min="14613" max="14613" width="9.375" style="16" customWidth="1"/>
    <col min="14614" max="14614" width="8.75" style="16" customWidth="1"/>
    <col min="14615" max="14617" width="9" style="16" customWidth="1"/>
    <col min="14618" max="14618" width="8.875" style="16" bestFit="1" customWidth="1"/>
    <col min="14619" max="14848" width="9" style="16"/>
    <col min="14849" max="14849" width="17.75" style="16" customWidth="1"/>
    <col min="14850" max="14852" width="8.75" style="16" customWidth="1"/>
    <col min="14853" max="14854" width="9" style="16" customWidth="1"/>
    <col min="14855" max="14855" width="8.375" style="16" customWidth="1"/>
    <col min="14856" max="14856" width="8.5" style="16" customWidth="1"/>
    <col min="14857" max="14857" width="8.375" style="16" customWidth="1"/>
    <col min="14858" max="14858" width="8.75" style="16" customWidth="1"/>
    <col min="14859" max="14861" width="9" style="16" customWidth="1"/>
    <col min="14862" max="14864" width="8.75" style="16" customWidth="1"/>
    <col min="14865" max="14866" width="9" style="16" customWidth="1"/>
    <col min="14867" max="14867" width="8.375" style="16" customWidth="1"/>
    <col min="14868" max="14868" width="8.875" style="16" bestFit="1" customWidth="1"/>
    <col min="14869" max="14869" width="9.375" style="16" customWidth="1"/>
    <col min="14870" max="14870" width="8.75" style="16" customWidth="1"/>
    <col min="14871" max="14873" width="9" style="16" customWidth="1"/>
    <col min="14874" max="14874" width="8.875" style="16" bestFit="1" customWidth="1"/>
    <col min="14875" max="15104" width="9" style="16"/>
    <col min="15105" max="15105" width="17.75" style="16" customWidth="1"/>
    <col min="15106" max="15108" width="8.75" style="16" customWidth="1"/>
    <col min="15109" max="15110" width="9" style="16" customWidth="1"/>
    <col min="15111" max="15111" width="8.375" style="16" customWidth="1"/>
    <col min="15112" max="15112" width="8.5" style="16" customWidth="1"/>
    <col min="15113" max="15113" width="8.375" style="16" customWidth="1"/>
    <col min="15114" max="15114" width="8.75" style="16" customWidth="1"/>
    <col min="15115" max="15117" width="9" style="16" customWidth="1"/>
    <col min="15118" max="15120" width="8.75" style="16" customWidth="1"/>
    <col min="15121" max="15122" width="9" style="16" customWidth="1"/>
    <col min="15123" max="15123" width="8.375" style="16" customWidth="1"/>
    <col min="15124" max="15124" width="8.875" style="16" bestFit="1" customWidth="1"/>
    <col min="15125" max="15125" width="9.375" style="16" customWidth="1"/>
    <col min="15126" max="15126" width="8.75" style="16" customWidth="1"/>
    <col min="15127" max="15129" width="9" style="16" customWidth="1"/>
    <col min="15130" max="15130" width="8.875" style="16" bestFit="1" customWidth="1"/>
    <col min="15131" max="15360" width="9" style="16"/>
    <col min="15361" max="15361" width="17.75" style="16" customWidth="1"/>
    <col min="15362" max="15364" width="8.75" style="16" customWidth="1"/>
    <col min="15365" max="15366" width="9" style="16" customWidth="1"/>
    <col min="15367" max="15367" width="8.375" style="16" customWidth="1"/>
    <col min="15368" max="15368" width="8.5" style="16" customWidth="1"/>
    <col min="15369" max="15369" width="8.375" style="16" customWidth="1"/>
    <col min="15370" max="15370" width="8.75" style="16" customWidth="1"/>
    <col min="15371" max="15373" width="9" style="16" customWidth="1"/>
    <col min="15374" max="15376" width="8.75" style="16" customWidth="1"/>
    <col min="15377" max="15378" width="9" style="16" customWidth="1"/>
    <col min="15379" max="15379" width="8.375" style="16" customWidth="1"/>
    <col min="15380" max="15380" width="8.875" style="16" bestFit="1" customWidth="1"/>
    <col min="15381" max="15381" width="9.375" style="16" customWidth="1"/>
    <col min="15382" max="15382" width="8.75" style="16" customWidth="1"/>
    <col min="15383" max="15385" width="9" style="16" customWidth="1"/>
    <col min="15386" max="15386" width="8.875" style="16" bestFit="1" customWidth="1"/>
    <col min="15387" max="15616" width="9" style="16"/>
    <col min="15617" max="15617" width="17.75" style="16" customWidth="1"/>
    <col min="15618" max="15620" width="8.75" style="16" customWidth="1"/>
    <col min="15621" max="15622" width="9" style="16" customWidth="1"/>
    <col min="15623" max="15623" width="8.375" style="16" customWidth="1"/>
    <col min="15624" max="15624" width="8.5" style="16" customWidth="1"/>
    <col min="15625" max="15625" width="8.375" style="16" customWidth="1"/>
    <col min="15626" max="15626" width="8.75" style="16" customWidth="1"/>
    <col min="15627" max="15629" width="9" style="16" customWidth="1"/>
    <col min="15630" max="15632" width="8.75" style="16" customWidth="1"/>
    <col min="15633" max="15634" width="9" style="16" customWidth="1"/>
    <col min="15635" max="15635" width="8.375" style="16" customWidth="1"/>
    <col min="15636" max="15636" width="8.875" style="16" bestFit="1" customWidth="1"/>
    <col min="15637" max="15637" width="9.375" style="16" customWidth="1"/>
    <col min="15638" max="15638" width="8.75" style="16" customWidth="1"/>
    <col min="15639" max="15641" width="9" style="16" customWidth="1"/>
    <col min="15642" max="15642" width="8.875" style="16" bestFit="1" customWidth="1"/>
    <col min="15643" max="15872" width="9" style="16"/>
    <col min="15873" max="15873" width="17.75" style="16" customWidth="1"/>
    <col min="15874" max="15876" width="8.75" style="16" customWidth="1"/>
    <col min="15877" max="15878" width="9" style="16" customWidth="1"/>
    <col min="15879" max="15879" width="8.375" style="16" customWidth="1"/>
    <col min="15880" max="15880" width="8.5" style="16" customWidth="1"/>
    <col min="15881" max="15881" width="8.375" style="16" customWidth="1"/>
    <col min="15882" max="15882" width="8.75" style="16" customWidth="1"/>
    <col min="15883" max="15885" width="9" style="16" customWidth="1"/>
    <col min="15886" max="15888" width="8.75" style="16" customWidth="1"/>
    <col min="15889" max="15890" width="9" style="16" customWidth="1"/>
    <col min="15891" max="15891" width="8.375" style="16" customWidth="1"/>
    <col min="15892" max="15892" width="8.875" style="16" bestFit="1" customWidth="1"/>
    <col min="15893" max="15893" width="9.375" style="16" customWidth="1"/>
    <col min="15894" max="15894" width="8.75" style="16" customWidth="1"/>
    <col min="15895" max="15897" width="9" style="16" customWidth="1"/>
    <col min="15898" max="15898" width="8.875" style="16" bestFit="1" customWidth="1"/>
    <col min="15899" max="16128" width="9" style="16"/>
    <col min="16129" max="16129" width="17.75" style="16" customWidth="1"/>
    <col min="16130" max="16132" width="8.75" style="16" customWidth="1"/>
    <col min="16133" max="16134" width="9" style="16" customWidth="1"/>
    <col min="16135" max="16135" width="8.375" style="16" customWidth="1"/>
    <col min="16136" max="16136" width="8.5" style="16" customWidth="1"/>
    <col min="16137" max="16137" width="8.375" style="16" customWidth="1"/>
    <col min="16138" max="16138" width="8.75" style="16" customWidth="1"/>
    <col min="16139" max="16141" width="9" style="16" customWidth="1"/>
    <col min="16142" max="16144" width="8.75" style="16" customWidth="1"/>
    <col min="16145" max="16146" width="9" style="16" customWidth="1"/>
    <col min="16147" max="16147" width="8.375" style="16" customWidth="1"/>
    <col min="16148" max="16148" width="8.875" style="16" bestFit="1" customWidth="1"/>
    <col min="16149" max="16149" width="9.375" style="16" customWidth="1"/>
    <col min="16150" max="16150" width="8.75" style="16" customWidth="1"/>
    <col min="16151" max="16153" width="9" style="16" customWidth="1"/>
    <col min="16154" max="16154" width="8.875" style="16" bestFit="1" customWidth="1"/>
    <col min="16155" max="16384" width="9" style="16"/>
  </cols>
  <sheetData>
    <row r="1" spans="1:26" x14ac:dyDescent="0.2">
      <c r="A1" s="15" t="s">
        <v>187</v>
      </c>
    </row>
    <row r="2" spans="1:26" x14ac:dyDescent="0.2">
      <c r="A2" s="16">
        <v>2017</v>
      </c>
    </row>
    <row r="3" spans="1:26" x14ac:dyDescent="0.2">
      <c r="B3" s="16">
        <v>1</v>
      </c>
      <c r="C3" s="16">
        <v>2</v>
      </c>
      <c r="D3" s="16">
        <v>3</v>
      </c>
      <c r="E3" s="16">
        <v>4</v>
      </c>
      <c r="F3" s="16">
        <v>5</v>
      </c>
      <c r="G3" s="16">
        <v>6</v>
      </c>
      <c r="H3" s="16">
        <v>7</v>
      </c>
      <c r="I3" s="16">
        <v>8</v>
      </c>
      <c r="J3" s="16">
        <v>9</v>
      </c>
      <c r="K3" s="16">
        <v>10</v>
      </c>
      <c r="L3" s="16">
        <v>11</v>
      </c>
      <c r="M3" s="16">
        <v>12</v>
      </c>
      <c r="N3" s="16">
        <v>1</v>
      </c>
      <c r="O3" s="16">
        <v>2</v>
      </c>
      <c r="P3" s="16">
        <v>3</v>
      </c>
      <c r="Q3" s="16">
        <v>4</v>
      </c>
      <c r="R3" s="16">
        <v>5</v>
      </c>
      <c r="S3" s="16">
        <v>6</v>
      </c>
      <c r="T3" s="16">
        <v>7</v>
      </c>
      <c r="U3" s="16">
        <v>8</v>
      </c>
      <c r="V3" s="16">
        <v>9</v>
      </c>
      <c r="W3" s="16">
        <v>10</v>
      </c>
      <c r="X3" s="16">
        <v>11</v>
      </c>
      <c r="Y3" s="16">
        <v>12</v>
      </c>
    </row>
    <row r="4" spans="1:26" x14ac:dyDescent="0.2">
      <c r="B4" s="17">
        <v>42400</v>
      </c>
      <c r="C4" s="17">
        <v>42428</v>
      </c>
      <c r="D4" s="17">
        <v>42460</v>
      </c>
      <c r="E4" s="17">
        <v>42490</v>
      </c>
      <c r="F4" s="17">
        <v>42521</v>
      </c>
      <c r="G4" s="17">
        <v>42551</v>
      </c>
      <c r="H4" s="17">
        <v>42582</v>
      </c>
      <c r="I4" s="17">
        <v>42613</v>
      </c>
      <c r="J4" s="17">
        <v>42643</v>
      </c>
      <c r="K4" s="17">
        <v>42674</v>
      </c>
      <c r="L4" s="17">
        <v>42704</v>
      </c>
      <c r="M4" s="17">
        <v>42735</v>
      </c>
      <c r="N4" s="17">
        <v>42766</v>
      </c>
      <c r="O4" s="17">
        <v>42794</v>
      </c>
      <c r="P4" s="17">
        <v>42825</v>
      </c>
      <c r="Q4" s="17">
        <v>42855</v>
      </c>
      <c r="R4" s="17">
        <v>42886</v>
      </c>
      <c r="S4" s="17">
        <v>42916</v>
      </c>
      <c r="T4" s="17">
        <v>42947</v>
      </c>
      <c r="U4" s="17">
        <v>42978</v>
      </c>
      <c r="V4" s="17">
        <v>43008</v>
      </c>
      <c r="W4" s="17">
        <v>43039</v>
      </c>
      <c r="X4" s="17">
        <v>43069</v>
      </c>
      <c r="Y4" s="17">
        <v>43100</v>
      </c>
      <c r="Z4" s="15" t="s">
        <v>149</v>
      </c>
    </row>
    <row r="5" spans="1:26" x14ac:dyDescent="0.2">
      <c r="A5" s="18" t="s">
        <v>150</v>
      </c>
      <c r="B5" s="19">
        <v>865162.10000000009</v>
      </c>
      <c r="C5" s="19">
        <v>740951.20000000007</v>
      </c>
      <c r="D5" s="19">
        <v>792485.65</v>
      </c>
      <c r="E5" s="19">
        <v>818411.00000000012</v>
      </c>
      <c r="F5" s="19">
        <v>824681.55</v>
      </c>
      <c r="G5" s="19">
        <v>739432.10000000009</v>
      </c>
      <c r="H5" s="19">
        <v>893938.10000000009</v>
      </c>
      <c r="I5" s="19">
        <v>998352.85000000009</v>
      </c>
      <c r="J5" s="19">
        <v>820727.60000000009</v>
      </c>
      <c r="K5" s="19">
        <v>965701.00000000012</v>
      </c>
      <c r="L5" s="19">
        <v>788520.70000000007</v>
      </c>
      <c r="M5" s="19">
        <v>712574.5</v>
      </c>
      <c r="N5" s="19">
        <v>844736.37600000005</v>
      </c>
      <c r="O5" s="19">
        <v>770900.35000000009</v>
      </c>
      <c r="P5" s="19">
        <v>798085.20000000007</v>
      </c>
      <c r="Q5" s="19">
        <v>824136.50000000012</v>
      </c>
      <c r="R5" s="19">
        <v>726692.45000000007</v>
      </c>
      <c r="S5" s="19">
        <v>577361.4</v>
      </c>
      <c r="T5" s="19">
        <v>1121868.5830000001</v>
      </c>
      <c r="U5" s="19">
        <v>1128859.6000000001</v>
      </c>
      <c r="V5" s="19">
        <v>933716.3</v>
      </c>
      <c r="W5" s="19"/>
      <c r="X5" s="19"/>
      <c r="Y5" s="19"/>
      <c r="Z5" s="20">
        <f>SUM(N5:Y5)</f>
        <v>7726356.7590000005</v>
      </c>
    </row>
    <row r="6" spans="1:26" x14ac:dyDescent="0.2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</row>
    <row r="7" spans="1:26" x14ac:dyDescent="0.2">
      <c r="A7" s="18" t="s">
        <v>151</v>
      </c>
      <c r="B7" s="19">
        <v>741045</v>
      </c>
      <c r="C7" s="19">
        <v>655447</v>
      </c>
      <c r="D7" s="19">
        <v>648970</v>
      </c>
      <c r="E7" s="19">
        <v>641223</v>
      </c>
      <c r="F7" s="19">
        <v>644017</v>
      </c>
      <c r="G7" s="19">
        <v>556006</v>
      </c>
      <c r="H7" s="19">
        <v>632968</v>
      </c>
      <c r="I7" s="19">
        <v>700024</v>
      </c>
      <c r="J7" s="19">
        <v>656971</v>
      </c>
      <c r="K7" s="19">
        <v>783590</v>
      </c>
      <c r="L7" s="19">
        <v>646684</v>
      </c>
      <c r="M7" s="19">
        <v>574294</v>
      </c>
      <c r="N7" s="19">
        <v>677545</v>
      </c>
      <c r="O7" s="19">
        <v>619379</v>
      </c>
      <c r="P7" s="19">
        <v>643509</v>
      </c>
      <c r="Q7" s="19">
        <v>652145</v>
      </c>
      <c r="R7" s="19">
        <v>609219</v>
      </c>
      <c r="S7" s="19">
        <v>588137</v>
      </c>
      <c r="T7" s="19">
        <v>644779</v>
      </c>
      <c r="U7" s="19">
        <v>713486</v>
      </c>
      <c r="V7" s="19">
        <v>703072</v>
      </c>
      <c r="W7" s="19"/>
      <c r="X7" s="19"/>
      <c r="Y7" s="19"/>
      <c r="Z7" s="20">
        <f>SUM(N7:Y7)</f>
        <v>5851271</v>
      </c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"/>
      <c r="S8" s="18"/>
      <c r="T8" s="18"/>
      <c r="U8" s="18"/>
      <c r="V8" s="18"/>
      <c r="W8" s="18"/>
      <c r="X8" s="18"/>
      <c r="Y8" s="18"/>
      <c r="Z8" s="21"/>
    </row>
    <row r="9" spans="1:26" x14ac:dyDescent="0.2">
      <c r="A9" s="18" t="s">
        <v>152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 t="e">
        <f t="shared" ref="W9:Y9" si="0">+W7/W5</f>
        <v>#DIV/0!</v>
      </c>
      <c r="X9" s="22" t="e">
        <f t="shared" si="0"/>
        <v>#DIV/0!</v>
      </c>
      <c r="Y9" s="22" t="e">
        <f t="shared" si="0"/>
        <v>#DIV/0!</v>
      </c>
      <c r="Z9" s="23">
        <f>+Z7/Z5</f>
        <v>0.75731307555584748</v>
      </c>
    </row>
    <row r="10" spans="1:26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21"/>
    </row>
    <row r="11" spans="1:26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21"/>
    </row>
    <row r="12" spans="1:26" x14ac:dyDescent="0.2">
      <c r="A12" s="18" t="s">
        <v>153</v>
      </c>
      <c r="B12" s="19">
        <v>540229.18000000005</v>
      </c>
      <c r="C12" s="19">
        <v>551244.23</v>
      </c>
      <c r="D12" s="19">
        <v>544477.72</v>
      </c>
      <c r="E12" s="19">
        <v>537962.61</v>
      </c>
      <c r="F12" s="19">
        <v>463264.05</v>
      </c>
      <c r="G12" s="19">
        <v>455426.06</v>
      </c>
      <c r="H12" s="19">
        <v>507393.39</v>
      </c>
      <c r="I12" s="19">
        <v>493530.04</v>
      </c>
      <c r="J12" s="19">
        <v>487786.68</v>
      </c>
      <c r="K12" s="19">
        <v>533082.76</v>
      </c>
      <c r="L12" s="19">
        <v>468913.01</v>
      </c>
      <c r="M12" s="19">
        <v>356889.62</v>
      </c>
      <c r="N12" s="19">
        <v>445556.15</v>
      </c>
      <c r="O12" s="19">
        <v>448121.9</v>
      </c>
      <c r="P12" s="19">
        <v>443455.72</v>
      </c>
      <c r="Q12" s="19">
        <v>462224.89</v>
      </c>
      <c r="R12" s="19">
        <v>349958.95</v>
      </c>
      <c r="S12" s="19">
        <v>383243.24</v>
      </c>
      <c r="T12" s="19">
        <v>764426.03</v>
      </c>
      <c r="U12" s="19">
        <v>709632.42</v>
      </c>
      <c r="V12" s="19">
        <v>558380.13</v>
      </c>
      <c r="W12" s="19"/>
      <c r="X12" s="19"/>
      <c r="Y12" s="19"/>
      <c r="Z12" s="20"/>
    </row>
    <row r="13" spans="1:26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21"/>
    </row>
    <row r="14" spans="1:26" x14ac:dyDescent="0.2">
      <c r="A14" s="24" t="s">
        <v>154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 t="e">
        <f t="shared" ref="W14:Y14" si="1">W12*U15:W15/U5:W5</f>
        <v>#DIV/0!</v>
      </c>
      <c r="X14" s="25" t="e">
        <f t="shared" si="1"/>
        <v>#DIV/0!</v>
      </c>
      <c r="Y14" s="25" t="e">
        <f t="shared" si="1"/>
        <v>#DIV/0!</v>
      </c>
      <c r="Z14" s="18"/>
    </row>
    <row r="15" spans="1:26" x14ac:dyDescent="0.2">
      <c r="A15" s="26" t="s">
        <v>155</v>
      </c>
      <c r="B15" s="18">
        <v>31</v>
      </c>
      <c r="C15" s="18">
        <v>28</v>
      </c>
      <c r="D15" s="18">
        <v>31</v>
      </c>
      <c r="E15" s="18">
        <v>30</v>
      </c>
      <c r="F15" s="27">
        <v>31</v>
      </c>
      <c r="G15" s="27">
        <v>30</v>
      </c>
      <c r="H15" s="27">
        <v>31</v>
      </c>
      <c r="I15" s="27">
        <v>31</v>
      </c>
      <c r="J15" s="27">
        <v>30</v>
      </c>
      <c r="K15" s="27">
        <v>31</v>
      </c>
      <c r="L15" s="27">
        <v>30</v>
      </c>
      <c r="M15" s="27">
        <v>31</v>
      </c>
      <c r="N15" s="18">
        <v>31</v>
      </c>
      <c r="O15" s="18">
        <v>28</v>
      </c>
      <c r="P15" s="18">
        <v>31</v>
      </c>
      <c r="Q15" s="18">
        <v>30</v>
      </c>
      <c r="R15" s="27">
        <v>31</v>
      </c>
      <c r="S15" s="27">
        <v>30</v>
      </c>
      <c r="T15" s="27">
        <v>31</v>
      </c>
      <c r="U15" s="27">
        <v>31</v>
      </c>
      <c r="V15" s="27">
        <v>30</v>
      </c>
      <c r="W15" s="27">
        <v>31</v>
      </c>
      <c r="X15" s="27">
        <v>30</v>
      </c>
      <c r="Y15" s="27">
        <v>31</v>
      </c>
      <c r="Z15" s="18"/>
    </row>
    <row r="16" spans="1:26" x14ac:dyDescent="0.2">
      <c r="A16" s="24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27"/>
      <c r="S16" s="27"/>
      <c r="T16" s="27"/>
      <c r="U16" s="27"/>
      <c r="V16" s="27"/>
      <c r="W16" s="27"/>
      <c r="X16" s="27"/>
      <c r="Y16" s="27"/>
      <c r="Z16" s="18"/>
    </row>
    <row r="17" spans="1:26" x14ac:dyDescent="0.2">
      <c r="A17" s="28" t="s">
        <v>156</v>
      </c>
      <c r="B17" s="19">
        <f>-5940.54+472796.47</f>
        <v>466855.93</v>
      </c>
      <c r="C17" s="19">
        <f>-5918.2+484751.01</f>
        <v>478832.81</v>
      </c>
      <c r="D17" s="19">
        <f>-5484.84+460315.47</f>
        <v>454830.62999999995</v>
      </c>
      <c r="E17" s="19">
        <f>-5552.03+452846.83</f>
        <v>447294.8</v>
      </c>
      <c r="F17" s="19">
        <f>-6462.59+394020.11</f>
        <v>387557.51999999996</v>
      </c>
      <c r="G17" s="19">
        <f>-4547.99+399805.91</f>
        <v>395257.92</v>
      </c>
      <c r="H17" s="19">
        <f>-3762.76+471868.91</f>
        <v>468106.14999999997</v>
      </c>
      <c r="I17" s="19">
        <f>-3785.1+481495.51</f>
        <v>477710.41000000003</v>
      </c>
      <c r="J17" s="19">
        <f>-3033.28+457865.88</f>
        <v>454832.6</v>
      </c>
      <c r="K17" s="19">
        <f>-3165.47+513102.84</f>
        <v>509937.37000000005</v>
      </c>
      <c r="L17" s="19">
        <f>-2775.02+431246.76</f>
        <v>428471.74</v>
      </c>
      <c r="M17" s="19">
        <f>31.26+344911.17</f>
        <v>344942.43</v>
      </c>
      <c r="N17" s="19">
        <f>-333.54+446529.8</f>
        <v>446196.26</v>
      </c>
      <c r="O17" s="19">
        <f>-1238.49+483734.87</f>
        <v>482496.38</v>
      </c>
      <c r="P17" s="19">
        <f>-1304.36+428265.69</f>
        <v>426961.33</v>
      </c>
      <c r="Q17" s="19">
        <v>435881.92</v>
      </c>
      <c r="R17" s="19">
        <v>331018.25</v>
      </c>
      <c r="S17" s="19">
        <v>356214.12</v>
      </c>
      <c r="T17" s="19">
        <v>720639.48</v>
      </c>
      <c r="U17" s="19">
        <v>579348.29</v>
      </c>
      <c r="V17" s="19">
        <v>498868.26</v>
      </c>
      <c r="W17" s="19"/>
      <c r="X17" s="19"/>
      <c r="Y17" s="19"/>
      <c r="Z17" s="29">
        <f>T17/$T$12</f>
        <v>0.94271970304307917</v>
      </c>
    </row>
    <row r="18" spans="1:26" x14ac:dyDescent="0.2">
      <c r="A18" s="18" t="s">
        <v>157</v>
      </c>
      <c r="B18" s="19">
        <v>52211.07</v>
      </c>
      <c r="C18" s="19">
        <v>62231.18</v>
      </c>
      <c r="D18" s="19">
        <v>87187.8</v>
      </c>
      <c r="E18" s="19">
        <v>78011.14</v>
      </c>
      <c r="F18" s="19">
        <v>64588.47</v>
      </c>
      <c r="G18" s="19">
        <v>69826.94</v>
      </c>
      <c r="H18" s="19">
        <v>69109.47</v>
      </c>
      <c r="I18" s="19">
        <v>56468.92</v>
      </c>
      <c r="J18" s="19">
        <v>75334.77</v>
      </c>
      <c r="K18" s="19">
        <v>74168.13</v>
      </c>
      <c r="L18" s="19">
        <v>95388.89</v>
      </c>
      <c r="M18" s="19">
        <v>66765.03</v>
      </c>
      <c r="N18" s="19">
        <v>57885.43</v>
      </c>
      <c r="O18" s="19">
        <v>36835.129999999997</v>
      </c>
      <c r="P18" s="19">
        <v>85377.22</v>
      </c>
      <c r="Q18" s="19">
        <v>68511.44</v>
      </c>
      <c r="R18" s="19">
        <v>67533.16</v>
      </c>
      <c r="S18" s="19">
        <v>65315.96</v>
      </c>
      <c r="T18" s="19">
        <v>63076.59</v>
      </c>
      <c r="U18" s="19">
        <v>140506.49</v>
      </c>
      <c r="V18" s="19">
        <v>73929.23</v>
      </c>
      <c r="W18" s="19"/>
      <c r="X18" s="19"/>
      <c r="Y18" s="19"/>
      <c r="Z18" s="29">
        <f>T18/$T$12</f>
        <v>8.2514968779909284E-2</v>
      </c>
    </row>
    <row r="19" spans="1:26" x14ac:dyDescent="0.2">
      <c r="A19" s="18" t="s">
        <v>158</v>
      </c>
      <c r="B19" s="19">
        <v>38649.21</v>
      </c>
      <c r="C19" s="19">
        <v>22415.4</v>
      </c>
      <c r="D19" s="19">
        <v>26348.73</v>
      </c>
      <c r="E19" s="19">
        <v>42756.480000000003</v>
      </c>
      <c r="F19" s="19">
        <v>38338.379999999997</v>
      </c>
      <c r="G19" s="19">
        <v>23200</v>
      </c>
      <c r="H19" s="19">
        <v>23070.32</v>
      </c>
      <c r="I19" s="19">
        <v>23374.58</v>
      </c>
      <c r="J19" s="19">
        <v>21617.86</v>
      </c>
      <c r="K19" s="19">
        <v>20745.63</v>
      </c>
      <c r="L19" s="19">
        <v>23633.75</v>
      </c>
      <c r="M19" s="19">
        <v>24135.69</v>
      </c>
      <c r="N19" s="19">
        <v>23138.45</v>
      </c>
      <c r="O19" s="19">
        <v>11782.62</v>
      </c>
      <c r="P19" s="19">
        <v>14045.83</v>
      </c>
      <c r="Q19" s="19">
        <v>35296.589999999997</v>
      </c>
      <c r="R19" s="19">
        <v>29454.51</v>
      </c>
      <c r="S19" s="19">
        <v>35726.39</v>
      </c>
      <c r="T19" s="19">
        <v>35493.120000000003</v>
      </c>
      <c r="U19" s="19">
        <v>34713.24</v>
      </c>
      <c r="V19" s="19">
        <v>45275.19</v>
      </c>
      <c r="W19" s="19"/>
      <c r="X19" s="19"/>
      <c r="Y19" s="19"/>
      <c r="Z19" s="29">
        <f>T19/$T$12</f>
        <v>4.6431071950807326E-2</v>
      </c>
    </row>
    <row r="20" spans="1:26" x14ac:dyDescent="0.2">
      <c r="A20" s="18" t="s">
        <v>159</v>
      </c>
      <c r="B20" s="19">
        <v>26112.14</v>
      </c>
      <c r="C20" s="19">
        <v>26479.69</v>
      </c>
      <c r="D20" s="19">
        <v>11388.12</v>
      </c>
      <c r="E20" s="19">
        <v>13280.39</v>
      </c>
      <c r="F20" s="19">
        <v>19163.689999999999</v>
      </c>
      <c r="G20" s="19">
        <v>16124.62</v>
      </c>
      <c r="H20" s="19">
        <v>6868.62</v>
      </c>
      <c r="I20" s="19">
        <v>6348.08</v>
      </c>
      <c r="J20" s="19">
        <v>9944.99</v>
      </c>
      <c r="K20" s="19">
        <v>6387.71</v>
      </c>
      <c r="L20" s="19">
        <v>3768.85</v>
      </c>
      <c r="M20" s="19">
        <v>5608.46</v>
      </c>
      <c r="N20" s="19">
        <v>3719.09</v>
      </c>
      <c r="O20" s="19">
        <v>3309.59</v>
      </c>
      <c r="P20" s="19">
        <v>4828.3599999999997</v>
      </c>
      <c r="Q20" s="19">
        <v>9566.39</v>
      </c>
      <c r="R20" s="19">
        <v>7093.15</v>
      </c>
      <c r="S20" s="19">
        <v>14452.3</v>
      </c>
      <c r="T20" s="19">
        <v>23865.33</v>
      </c>
      <c r="U20" s="19">
        <v>21902.32</v>
      </c>
      <c r="V20" s="19">
        <v>16413.28</v>
      </c>
      <c r="W20" s="19"/>
      <c r="X20" s="19"/>
      <c r="Y20" s="19"/>
      <c r="Z20" s="29">
        <f>T20/$T$12</f>
        <v>3.1219933732502543E-2</v>
      </c>
    </row>
    <row r="21" spans="1:26" x14ac:dyDescent="0.2">
      <c r="A21" s="18" t="s">
        <v>160</v>
      </c>
      <c r="B21" s="19">
        <v>75000</v>
      </c>
      <c r="C21" s="19">
        <v>75000</v>
      </c>
      <c r="D21" s="19">
        <v>75000</v>
      </c>
      <c r="E21" s="19">
        <v>75000</v>
      </c>
      <c r="F21" s="19">
        <v>75000</v>
      </c>
      <c r="G21" s="19">
        <v>75000</v>
      </c>
      <c r="H21" s="19">
        <v>75000</v>
      </c>
      <c r="I21" s="19">
        <v>75000</v>
      </c>
      <c r="J21" s="19">
        <v>75000</v>
      </c>
      <c r="K21" s="19">
        <v>75000</v>
      </c>
      <c r="L21" s="19">
        <v>75000</v>
      </c>
      <c r="M21" s="19">
        <v>75000</v>
      </c>
      <c r="N21" s="19">
        <v>75000</v>
      </c>
      <c r="O21" s="19">
        <v>75000</v>
      </c>
      <c r="P21" s="19">
        <v>75000</v>
      </c>
      <c r="Q21" s="19">
        <v>75000</v>
      </c>
      <c r="R21" s="19">
        <v>75000</v>
      </c>
      <c r="S21" s="19">
        <v>75000</v>
      </c>
      <c r="T21" s="19">
        <v>75000</v>
      </c>
      <c r="U21" s="19">
        <v>75000</v>
      </c>
      <c r="V21" s="19">
        <v>75000</v>
      </c>
      <c r="W21" s="19"/>
      <c r="X21" s="19"/>
      <c r="Y21" s="19"/>
      <c r="Z21" s="29">
        <f>T21/$T$12</f>
        <v>9.8112828523120796E-2</v>
      </c>
    </row>
    <row r="22" spans="1:26" x14ac:dyDescent="0.2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29"/>
    </row>
    <row r="23" spans="1:26" x14ac:dyDescent="0.2">
      <c r="A23" s="28" t="s">
        <v>156</v>
      </c>
      <c r="B23" s="100">
        <f>B17/(SUM(B$17:B$21))</f>
        <v>0.70861542312197101</v>
      </c>
      <c r="C23" s="100">
        <f t="shared" ref="C23:F23" si="2">C17/(SUM(C$17:C$21))</f>
        <v>0.72009364846931634</v>
      </c>
      <c r="D23" s="100">
        <f t="shared" si="2"/>
        <v>0.69465744514500138</v>
      </c>
      <c r="E23" s="100">
        <f t="shared" si="2"/>
        <v>0.68149569582395519</v>
      </c>
      <c r="F23" s="100">
        <f t="shared" si="2"/>
        <v>0.66289028650843362</v>
      </c>
      <c r="H23" s="30"/>
      <c r="J23" s="30"/>
      <c r="K23" s="30"/>
      <c r="M23" s="30"/>
      <c r="N23" s="30"/>
      <c r="O23" s="30"/>
      <c r="P23" s="30"/>
      <c r="Q23" s="30"/>
      <c r="R23" s="30"/>
      <c r="T23" s="30"/>
      <c r="V23" s="30"/>
      <c r="W23" s="30"/>
      <c r="Y23" s="30"/>
    </row>
    <row r="24" spans="1:26" ht="14.25" customHeight="1" x14ac:dyDescent="0.2">
      <c r="A24" s="18" t="s">
        <v>157</v>
      </c>
      <c r="B24" s="100">
        <f t="shared" ref="B24:B27" si="3">B18/(SUM(B$17:B$21))</f>
        <v>7.9248365678252913E-2</v>
      </c>
      <c r="C24" s="100">
        <f t="shared" ref="C24:F24" si="4">C18/(SUM(C$17:C$21))</f>
        <v>9.3586480539524328E-2</v>
      </c>
      <c r="D24" s="100">
        <f t="shared" si="4"/>
        <v>0.1331608963886477</v>
      </c>
      <c r="E24" s="100">
        <f t="shared" si="4"/>
        <v>0.11885730872865051</v>
      </c>
      <c r="F24" s="100">
        <f t="shared" si="4"/>
        <v>0.11047410300138513</v>
      </c>
      <c r="G24" s="131" t="s">
        <v>193</v>
      </c>
      <c r="H24" s="131"/>
      <c r="I24" s="129" t="s">
        <v>194</v>
      </c>
      <c r="J24" s="129"/>
      <c r="K24" s="129"/>
      <c r="L24" s="129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</row>
    <row r="25" spans="1:26" x14ac:dyDescent="0.2">
      <c r="A25" s="18" t="s">
        <v>158</v>
      </c>
      <c r="B25" s="100">
        <f t="shared" si="3"/>
        <v>5.8663550225183846E-2</v>
      </c>
      <c r="C25" s="100">
        <f t="shared" ref="C25:F25" si="5">C19/(SUM(C$17:C$21))</f>
        <v>3.3709442692323267E-2</v>
      </c>
      <c r="D25" s="100">
        <f t="shared" si="5"/>
        <v>4.024210388956314E-2</v>
      </c>
      <c r="E25" s="100">
        <f t="shared" si="5"/>
        <v>6.5143518521974836E-2</v>
      </c>
      <c r="F25" s="100">
        <f t="shared" si="5"/>
        <v>6.5575142761954933E-2</v>
      </c>
      <c r="G25" s="131"/>
      <c r="H25" s="131"/>
      <c r="I25" s="130" t="s">
        <v>195</v>
      </c>
      <c r="J25" s="130"/>
      <c r="K25" s="130"/>
      <c r="L25" s="130"/>
      <c r="W25" s="30"/>
      <c r="X25" s="30"/>
      <c r="Y25" s="30"/>
    </row>
    <row r="26" spans="1:26" ht="14.25" x14ac:dyDescent="0.2">
      <c r="A26" s="18" t="s">
        <v>159</v>
      </c>
      <c r="B26" s="100">
        <f t="shared" si="3"/>
        <v>3.9634208212199734E-2</v>
      </c>
      <c r="C26" s="100">
        <f t="shared" ref="C26:F26" si="6">C20/(SUM(C$17:C$21))</f>
        <v>3.9821533078396344E-2</v>
      </c>
      <c r="D26" s="100">
        <f t="shared" si="6"/>
        <v>1.7392941069524482E-2</v>
      </c>
      <c r="E26" s="100">
        <f t="shared" si="6"/>
        <v>2.0233923184136048E-2</v>
      </c>
      <c r="F26" s="100">
        <f t="shared" si="6"/>
        <v>3.2778164012038279E-2</v>
      </c>
      <c r="G26" s="5"/>
      <c r="H26" s="82"/>
      <c r="I26" s="102" t="s">
        <v>196</v>
      </c>
      <c r="J26" s="82"/>
      <c r="K26" s="82"/>
      <c r="L26" s="82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6" ht="14.25" x14ac:dyDescent="0.2">
      <c r="A27" s="18" t="s">
        <v>160</v>
      </c>
      <c r="B27" s="100">
        <f t="shared" si="3"/>
        <v>0.11383845276239252</v>
      </c>
      <c r="C27" s="100">
        <f t="shared" ref="C27:F27" si="7">C21/(SUM(C$17:C$21))</f>
        <v>0.11278889522043974</v>
      </c>
      <c r="D27" s="100">
        <f t="shared" si="7"/>
        <v>0.11454661350726338</v>
      </c>
      <c r="E27" s="100">
        <f t="shared" si="7"/>
        <v>0.11426955374128347</v>
      </c>
      <c r="F27" s="100">
        <f t="shared" si="7"/>
        <v>0.12828230371618782</v>
      </c>
      <c r="G27" s="81"/>
      <c r="H27" s="82"/>
      <c r="I27" s="103" t="s">
        <v>197</v>
      </c>
      <c r="J27" s="82"/>
      <c r="K27" s="82"/>
      <c r="L27" s="82"/>
      <c r="M27" s="81"/>
      <c r="N27" s="81"/>
      <c r="O27" s="81"/>
      <c r="P27" s="81"/>
      <c r="Q27" s="81"/>
      <c r="R27" s="81"/>
      <c r="S27" s="81"/>
      <c r="T27" s="81"/>
      <c r="U27" s="81"/>
      <c r="V27" s="81"/>
    </row>
    <row r="28" spans="1:26" x14ac:dyDescent="0.2">
      <c r="B28" s="101">
        <f>SUM(B23:B27)</f>
        <v>1</v>
      </c>
      <c r="C28" s="101">
        <f t="shared" ref="C28:F28" si="8">SUM(C23:C27)</f>
        <v>1</v>
      </c>
      <c r="D28" s="101">
        <f t="shared" si="8"/>
        <v>1.0000000000000002</v>
      </c>
      <c r="E28" s="101">
        <f t="shared" si="8"/>
        <v>1.0000000000000002</v>
      </c>
      <c r="F28" s="101">
        <f t="shared" si="8"/>
        <v>0.99999999999999978</v>
      </c>
    </row>
    <row r="29" spans="1:26" x14ac:dyDescent="0.2">
      <c r="N29" s="30"/>
    </row>
  </sheetData>
  <mergeCells count="3">
    <mergeCell ref="I24:L24"/>
    <mergeCell ref="I25:L25"/>
    <mergeCell ref="G24:H25"/>
  </mergeCells>
  <pageMargins left="0.75" right="0.75" top="1" bottom="1" header="0.5" footer="0.5"/>
  <pageSetup scale="80" orientation="landscape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FS - 1 Drop Down</vt:lpstr>
      <vt:lpstr>Financial Summary - 2 Mo &amp; YTD</vt:lpstr>
      <vt:lpstr>Financial Summary - 3 Var &amp; Oth</vt:lpstr>
      <vt:lpstr>Financial Summary - 4 Graph</vt:lpstr>
      <vt:lpstr>Financial Summary - Final</vt:lpstr>
      <vt:lpstr>Productivity</vt:lpstr>
      <vt:lpstr>M2M P&amp;L</vt:lpstr>
      <vt:lpstr>M2M Balance Sheet</vt:lpstr>
      <vt:lpstr>AR</vt:lpstr>
      <vt:lpstr>Key</vt:lpstr>
      <vt:lpstr>'Financial Summary - 2 Mo &amp; YTD'!Print_Area</vt:lpstr>
      <vt:lpstr>'Financial Summary - 3 Var &amp; Oth'!Print_Area</vt:lpstr>
      <vt:lpstr>'Financial Summary - 4 Graph'!Print_Area</vt:lpstr>
      <vt:lpstr>'Financial Summary - Final'!Print_Area</vt:lpstr>
      <vt:lpstr>'FS - 1 Drop Down'!Print_Area</vt:lpstr>
      <vt:lpstr>'M2M Balance Sheet'!Print_Titles</vt:lpstr>
      <vt:lpstr>'M2M P&amp;L'!Print_Titles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 Speer</dc:creator>
  <cp:lastModifiedBy>Kristina Romero</cp:lastModifiedBy>
  <cp:lastPrinted>2014-11-01T19:25:27Z</cp:lastPrinted>
  <dcterms:created xsi:type="dcterms:W3CDTF">2014-10-23T19:55:30Z</dcterms:created>
  <dcterms:modified xsi:type="dcterms:W3CDTF">2017-09-13T16:15:32Z</dcterms:modified>
</cp:coreProperties>
</file>